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RichK1\Downloads\"/>
    </mc:Choice>
  </mc:AlternateContent>
  <xr:revisionPtr revIDLastSave="0" documentId="13_ncr:1_{9A6AC857-438D-40F4-89AF-0C4BCC9DA3F4}" xr6:coauthVersionLast="47" xr6:coauthVersionMax="47" xr10:uidLastSave="{00000000-0000-0000-0000-000000000000}"/>
  <workbookProtection workbookAlgorithmName="SHA-512" workbookHashValue="OsvegdgGq2to4CwLIiFIuOg1D53egd4ePkNe0q3gwTTcgYNENmzHZ/wZ6EWcEnJBRLc71b6dfskRSTXm6BYqRw==" workbookSaltValue="XGlafFZTpJS5M7/RWav/xg==" workbookSpinCount="100000" lockStructure="1"/>
  <bookViews>
    <workbookView xWindow="-98" yWindow="-98" windowWidth="38596" windowHeight="21196" xr2:uid="{00000000-000D-0000-FFFF-FFFF00000000}"/>
  </bookViews>
  <sheets>
    <sheet name="Pricing Methodology &amp; Inputs" sheetId="1" r:id="rId1"/>
    <sheet name="Rate of Return" sheetId="2" r:id="rId2"/>
    <sheet name="Standing Price Calculation " sheetId="3" r:id="rId3"/>
  </sheets>
  <definedNames>
    <definedName name="Auto_öppna_xlquery_DClick">#REF!</definedName>
    <definedName name="ddd">#REF!</definedName>
    <definedName name="IQB_BOOKMARK_LOCATION_0">#REF!</definedName>
    <definedName name="IQB_BOOKMARK_LOCATION_1">#REF!</definedName>
    <definedName name="IQB_BOOKMARK_LOCATION_2">#REF!</definedName>
    <definedName name="IQB_BOOKMARK_LOCATION_3">#REF!</definedName>
    <definedName name="newfilterdatabase">#REF!</definedName>
    <definedName name="Z_6664BF98_58A8_4AA7_B274_16B63D099514_.wvu.PrintTitles">#REF!</definedName>
    <definedName name="Z_6664BF98_58A8_4AA7_B274_16B63D099514_.wvu.Rows">#REF!</definedName>
    <definedName name="Z_7BA556F5_54D8_11D5_A01A_F3F642D11487_.wvu.PrintTitles">#REF!</definedName>
    <definedName name="Z_B353C461_E47E_11D3_9F17_9F7735ADF445_.wvu.Print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3" l="1"/>
  <c r="Q43" i="3"/>
  <c r="P43" i="3"/>
  <c r="O43" i="3"/>
  <c r="N43" i="3"/>
  <c r="M43" i="3"/>
  <c r="L43" i="3"/>
  <c r="K43" i="3"/>
  <c r="D53" i="3" s="1"/>
  <c r="J39" i="3"/>
  <c r="I39" i="3"/>
  <c r="H39" i="3"/>
  <c r="G39" i="3"/>
  <c r="F39" i="3"/>
  <c r="R36" i="3"/>
  <c r="Q36" i="3"/>
  <c r="P36" i="3"/>
  <c r="O36" i="3"/>
  <c r="N36" i="3"/>
  <c r="M36" i="3"/>
  <c r="L36" i="3"/>
  <c r="K36" i="3"/>
  <c r="D49" i="3" s="1"/>
  <c r="T27" i="3"/>
  <c r="R27" i="3"/>
  <c r="Q27" i="3"/>
  <c r="P27" i="3"/>
  <c r="O27" i="3"/>
  <c r="N27" i="3"/>
  <c r="M27" i="3"/>
  <c r="L27" i="3"/>
  <c r="K27" i="3"/>
  <c r="R26" i="3"/>
  <c r="J25" i="3"/>
  <c r="I25" i="3"/>
  <c r="H25" i="3"/>
  <c r="G25" i="3"/>
  <c r="F25" i="3"/>
  <c r="E25" i="3"/>
  <c r="D21" i="3"/>
  <c r="D31" i="3" s="1"/>
  <c r="E22" i="3" s="1"/>
  <c r="E17" i="3"/>
  <c r="D15" i="1" s="1"/>
  <c r="E16" i="3"/>
  <c r="E9" i="3"/>
  <c r="P8" i="3"/>
  <c r="Q8" i="3" s="1"/>
  <c r="R8" i="3" s="1"/>
  <c r="O8" i="3"/>
  <c r="E14" i="2"/>
  <c r="E11" i="2" s="1"/>
  <c r="D17" i="1" s="1"/>
  <c r="E11" i="3" s="1"/>
  <c r="F11" i="3" s="1"/>
  <c r="G11" i="3" s="1"/>
  <c r="H11" i="3" s="1"/>
  <c r="I11" i="3" s="1"/>
  <c r="J11" i="3" s="1"/>
  <c r="K11" i="3" s="1"/>
  <c r="L11" i="3" s="1"/>
  <c r="M11" i="3" s="1"/>
  <c r="N11" i="3" s="1"/>
  <c r="O11" i="3" s="1"/>
  <c r="P11" i="3" s="1"/>
  <c r="Q11" i="3" s="1"/>
  <c r="R11" i="3" s="1"/>
  <c r="Q22" i="1"/>
  <c r="E21" i="1" l="1"/>
  <c r="D16" i="1"/>
  <c r="E10" i="3" s="1"/>
  <c r="F10" i="3" s="1"/>
  <c r="G10" i="3" s="1"/>
  <c r="H10" i="3" s="1"/>
  <c r="I10" i="3" s="1"/>
  <c r="J10" i="3" s="1"/>
  <c r="K10" i="3" s="1"/>
  <c r="L10" i="3" s="1"/>
  <c r="M10" i="3" s="1"/>
  <c r="N10" i="3" s="1"/>
  <c r="O10" i="3" s="1"/>
  <c r="P10" i="3" s="1"/>
  <c r="Q10" i="3" s="1"/>
  <c r="R10" i="3" s="1"/>
  <c r="E23" i="3"/>
  <c r="F17" i="3"/>
  <c r="G17" i="3" s="1"/>
  <c r="H17" i="3" s="1"/>
  <c r="I17" i="3" s="1"/>
  <c r="J17" i="3" s="1"/>
  <c r="K17" i="3" s="1"/>
  <c r="L17" i="3" s="1"/>
  <c r="M17" i="3" s="1"/>
  <c r="N17" i="3" s="1"/>
  <c r="O17" i="3" s="1"/>
  <c r="P17" i="3" s="1"/>
  <c r="Q17" i="3" s="1"/>
  <c r="R17" i="3" s="1"/>
  <c r="F9" i="3"/>
  <c r="G9" i="3" l="1"/>
  <c r="E29" i="3"/>
  <c r="E26" i="3"/>
  <c r="E24" i="3" s="1"/>
  <c r="F21" i="1"/>
  <c r="H9" i="3" l="1"/>
  <c r="F30" i="3"/>
  <c r="E30" i="3"/>
  <c r="F29" i="3"/>
  <c r="G29" i="3" s="1"/>
  <c r="H29" i="3" s="1"/>
  <c r="I29" i="3" s="1"/>
  <c r="J29" i="3" s="1"/>
  <c r="K29" i="3" s="1"/>
  <c r="L29" i="3" s="1"/>
  <c r="M29" i="3" s="1"/>
  <c r="N29" i="3" s="1"/>
  <c r="O29" i="3" s="1"/>
  <c r="P29" i="3" s="1"/>
  <c r="Q29" i="3" s="1"/>
  <c r="R29" i="3" s="1"/>
  <c r="G30" i="3"/>
  <c r="F26" i="3"/>
  <c r="F24" i="3" s="1"/>
  <c r="G21" i="1"/>
  <c r="E31" i="3"/>
  <c r="F22" i="3" s="1"/>
  <c r="I9" i="3" l="1"/>
  <c r="G26" i="3"/>
  <c r="G24" i="3" s="1"/>
  <c r="H21" i="1"/>
  <c r="T29" i="3"/>
  <c r="F23" i="3"/>
  <c r="F31" i="3"/>
  <c r="G22" i="3" s="1"/>
  <c r="H30" i="3"/>
  <c r="H26" i="3" l="1"/>
  <c r="H24" i="3" s="1"/>
  <c r="I21" i="1"/>
  <c r="G23" i="3"/>
  <c r="G31" i="3"/>
  <c r="H22" i="3" s="1"/>
  <c r="J9" i="3"/>
  <c r="I30" i="3"/>
  <c r="K9" i="3" l="1"/>
  <c r="K35" i="3"/>
  <c r="J30" i="3"/>
  <c r="H23" i="3"/>
  <c r="H31" i="3"/>
  <c r="I22" i="3" s="1"/>
  <c r="I26" i="3"/>
  <c r="I24" i="3" s="1"/>
  <c r="J21" i="1"/>
  <c r="L9" i="3" l="1"/>
  <c r="L35" i="3"/>
  <c r="K30" i="3"/>
  <c r="K37" i="3" s="1"/>
  <c r="J26" i="3"/>
  <c r="J24" i="3" s="1"/>
  <c r="K21" i="1"/>
  <c r="I23" i="3"/>
  <c r="I31" i="3" s="1"/>
  <c r="J22" i="3" s="1"/>
  <c r="J23" i="3" l="1"/>
  <c r="J31" i="3" s="1"/>
  <c r="K22" i="3" s="1"/>
  <c r="M9" i="3"/>
  <c r="M35" i="3"/>
  <c r="L30" i="3"/>
  <c r="L37" i="3" s="1"/>
  <c r="L21" i="1"/>
  <c r="K26" i="3"/>
  <c r="K24" i="3" s="1"/>
  <c r="K34" i="3" l="1"/>
  <c r="K23" i="3"/>
  <c r="K31" i="3" s="1"/>
  <c r="L22" i="3" s="1"/>
  <c r="M21" i="1"/>
  <c r="L26" i="3"/>
  <c r="L24" i="3" s="1"/>
  <c r="N35" i="3"/>
  <c r="N9" i="3"/>
  <c r="M30" i="3"/>
  <c r="M37" i="3" s="1"/>
  <c r="L34" i="3" l="1"/>
  <c r="L23" i="3"/>
  <c r="L31" i="3" s="1"/>
  <c r="M22" i="3" s="1"/>
  <c r="N21" i="1"/>
  <c r="M26" i="3"/>
  <c r="M24" i="3" s="1"/>
  <c r="K38" i="3"/>
  <c r="O35" i="3"/>
  <c r="D48" i="3" s="1"/>
  <c r="O9" i="3"/>
  <c r="N30" i="3"/>
  <c r="N37" i="3" s="1"/>
  <c r="M34" i="3" l="1"/>
  <c r="M23" i="3"/>
  <c r="M31" i="3" s="1"/>
  <c r="N22" i="3" s="1"/>
  <c r="O21" i="1"/>
  <c r="N26" i="3"/>
  <c r="N24" i="3" s="1"/>
  <c r="K39" i="3"/>
  <c r="L38" i="3"/>
  <c r="P9" i="3"/>
  <c r="P35" i="3"/>
  <c r="O30" i="3"/>
  <c r="O37" i="3" s="1"/>
  <c r="D50" i="3" s="1"/>
  <c r="N34" i="3" l="1"/>
  <c r="N23" i="3"/>
  <c r="N31" i="3" s="1"/>
  <c r="O22" i="3" s="1"/>
  <c r="L39" i="3"/>
  <c r="L44" i="3" s="1"/>
  <c r="P21" i="1"/>
  <c r="O26" i="3"/>
  <c r="O24" i="3" s="1"/>
  <c r="M38" i="3"/>
  <c r="Q35" i="3"/>
  <c r="Q9" i="3"/>
  <c r="P30" i="3"/>
  <c r="P37" i="3" s="1"/>
  <c r="K44" i="3"/>
  <c r="O23" i="3" l="1"/>
  <c r="O34" i="3"/>
  <c r="O31" i="3"/>
  <c r="P22" i="3" s="1"/>
  <c r="N38" i="3"/>
  <c r="N39" i="3" s="1"/>
  <c r="N44" i="3" s="1"/>
  <c r="P26" i="3"/>
  <c r="P24" i="3" s="1"/>
  <c r="Q21" i="1"/>
  <c r="Q26" i="3" s="1"/>
  <c r="Q24" i="3" s="1"/>
  <c r="M39" i="3"/>
  <c r="M44" i="3" s="1"/>
  <c r="R9" i="3"/>
  <c r="R35" i="3"/>
  <c r="Q28" i="3"/>
  <c r="Q30" i="3"/>
  <c r="Q37" i="3" s="1"/>
  <c r="P34" i="3" l="1"/>
  <c r="P23" i="3"/>
  <c r="P31" i="3"/>
  <c r="Q22" i="3" s="1"/>
  <c r="O38" i="3"/>
  <c r="D51" i="3" s="1"/>
  <c r="D47" i="3"/>
  <c r="R24" i="3"/>
  <c r="T24" i="3" s="1"/>
  <c r="R30" i="3"/>
  <c r="P38" i="3" l="1"/>
  <c r="P39" i="3"/>
  <c r="P44" i="3" s="1"/>
  <c r="O39" i="3"/>
  <c r="Q34" i="3"/>
  <c r="Q23" i="3"/>
  <c r="Q31" i="3"/>
  <c r="R22" i="3" s="1"/>
  <c r="R37" i="3"/>
  <c r="T30" i="3"/>
  <c r="Q38" i="3" l="1"/>
  <c r="Q39" i="3" s="1"/>
  <c r="Q44" i="3" s="1"/>
  <c r="R34" i="3"/>
  <c r="R23" i="3"/>
  <c r="R31" i="3" s="1"/>
  <c r="O44" i="3"/>
  <c r="D52" i="3"/>
  <c r="D55" i="3" s="1"/>
  <c r="L45" i="3" l="1"/>
  <c r="K45" i="3"/>
  <c r="M45" i="3"/>
  <c r="R38" i="3"/>
  <c r="R39" i="3"/>
  <c r="R44" i="3" s="1"/>
  <c r="N45" i="3" s="1"/>
</calcChain>
</file>

<file path=xl/sharedStrings.xml><?xml version="1.0" encoding="utf-8"?>
<sst xmlns="http://schemas.openxmlformats.org/spreadsheetml/2006/main" count="181" uniqueCount="126">
  <si>
    <t>Braemar Pipeline: Standing Price Methodology</t>
  </si>
  <si>
    <r>
      <rPr>
        <b/>
        <sz val="11"/>
        <color theme="1"/>
        <rFont val="Arial"/>
      </rPr>
      <t>Building Block Standing Price Methodology</t>
    </r>
    <r>
      <rPr>
        <sz val="11"/>
        <color theme="1"/>
        <rFont val="Arial"/>
      </rPr>
      <t xml:space="preserve">
The Gas Transportation Agreement published on the Transporter's website contains standing terms for pipeline services on the Braemar Pipeline including standing prices for services.
The standing prices have been calculated using a building block revenue requirement methodology. This follows the AER methodology for calculating an (Maximum) Allowed Revenue for each year from the Regulatory Asset Base in that year, employing the equations for each period 't' shown below.  
The value of the asset base is rolled forward in each year accounting for inflation, depreciation and capital expenditure (Capex) (Roll Forward Model RFM). The revenue consists of 4 building blocks
1. Return on Capital derived from the Asset Base
2. Return of Capital (depreciation)
3. Forecast operating expenditure (Opex) and
4. Estimated cost of corporate income tax on 1, 2 and 3.
The standing price is derived from the revenue requirement divided by the forecast Firm Capacity Available. The revenue requirement is forecast over a period of years, and the standing price is calculated as the average over a 5 year period to smooth fluctuations between years. This term is currently set as Jul 2023 to Jun 2028 (FY2024 to FY2028). 
Dollar values are converted into nominal dollars of the day.</t>
    </r>
  </si>
  <si>
    <t>Allowed Revenue (in period t)</t>
  </si>
  <si>
    <t>Regulated Asset Base (in period t)</t>
  </si>
  <si>
    <t>Standing price</t>
  </si>
  <si>
    <t>Note:</t>
  </si>
  <si>
    <t>RAB(t-1) is referred to as Opening Asset Base in calculation worksheet</t>
  </si>
  <si>
    <t>RAB(t) is referred to as Closing Asset Base in calculation worksheet</t>
  </si>
  <si>
    <t>Model variable/assumption</t>
  </si>
  <si>
    <t>Description and reasoning</t>
  </si>
  <si>
    <t>Values</t>
  </si>
  <si>
    <t>Fixed Inputs</t>
  </si>
  <si>
    <t>Variable Inputs</t>
  </si>
  <si>
    <t>FY18</t>
  </si>
  <si>
    <t>FY19</t>
  </si>
  <si>
    <t>FY20</t>
  </si>
  <si>
    <t>FY21</t>
  </si>
  <si>
    <t>FY22</t>
  </si>
  <si>
    <t>FY23</t>
  </si>
  <si>
    <t>FY24</t>
  </si>
  <si>
    <t>FY25</t>
  </si>
  <si>
    <t>FY26</t>
  </si>
  <si>
    <t>FY27</t>
  </si>
  <si>
    <t>FY28</t>
  </si>
  <si>
    <t>FY29</t>
  </si>
  <si>
    <t>FY30</t>
  </si>
  <si>
    <t>FY31</t>
  </si>
  <si>
    <t>CPI Actual</t>
  </si>
  <si>
    <t>CPI All states; Series ID A2325847F 
https://www.abs.gov.au/statistics/economy/price-indexes-and-inflation/consumer-price-index-australia/latest-release</t>
  </si>
  <si>
    <t>CPI Forecast</t>
  </si>
  <si>
    <t xml:space="preserve">Forecast CPI is as per Transporter internal forecasts used for budgeting purposes </t>
  </si>
  <si>
    <t>Remaining life</t>
  </si>
  <si>
    <t>Remaining design life (28 years) at the time of purchase</t>
  </si>
  <si>
    <t>Depreciation (return of capital)</t>
  </si>
  <si>
    <t>Depreciation (economic)  is straight line depreciation of remaining design life (28 years) at the time of purchase</t>
  </si>
  <si>
    <t>Rate of return (on capital)</t>
  </si>
  <si>
    <t>Rate of Return Instrument February 2023, see Rate of Return worksheet</t>
  </si>
  <si>
    <t>Role Forward Model</t>
  </si>
  <si>
    <t>Opening Net Market Valuation</t>
  </si>
  <si>
    <t>The value of the asset base is determined utilising a EY valuation of the Pipeline completed in 2017 as at part of CTF acquisition.</t>
  </si>
  <si>
    <t>Capital Expenses</t>
  </si>
  <si>
    <t>Historical CAPEX is derived from accounts (nominal$). Forecast CAPEX is based on major works planned / required as per internal forecasts (real$2024). Major works include addition of pigging facilities on the pipe.</t>
  </si>
  <si>
    <t xml:space="preserve">CAPEX includes current forecast CAPEX plus net decommissioning costs including rehabilitation (based on Estimated Rehabilitation Cost decision from Queensland Government (FY2017) employing their Published Petroleum &amp; Gas model 
https://www.business.qld.gov.au/running-business/environment/licences-permits/rehabilitation/resource-activities) and </t>
  </si>
  <si>
    <t>Estimate of disposal value of pipeline as scrap</t>
  </si>
  <si>
    <t>Allowed Revenue model</t>
  </si>
  <si>
    <t>Operating Expenditure</t>
  </si>
  <si>
    <t>OPEX consists of a contract maintenance (indexed from $2017) and internal financial forecasts of ad hoc expenses ($nominal)</t>
  </si>
  <si>
    <t>contract</t>
  </si>
  <si>
    <t>ad hoc</t>
  </si>
  <si>
    <t>Estimated cost of corporate income tax</t>
  </si>
  <si>
    <t>A statutory income tax rate of 30% has been used</t>
  </si>
  <si>
    <t>Standing price calculation</t>
  </si>
  <si>
    <t>Firm capacity available on Braemar Pipeline (to Condamine RBP)</t>
  </si>
  <si>
    <t xml:space="preserve">Currently the maximum firm available daily quantity that can be transported is 40TJ/d to Condamine (RBP). The firm capacity is lower than nameplate capacity by design (one compressor is reserved to back up the other). Flows achievable are impacted by a number of circumstances including Braemar pipe pressures, RBP pressures,  temperatures and reliability of Compressors. The total maximum firm capacity available represents capacity forecast to be available under the majority of scenarios and also takes into account the potential gas/transport requirements for our power station. </t>
  </si>
  <si>
    <t>Passthrough costs</t>
  </si>
  <si>
    <t>Passthrough costs are not included in this tariff - but will be passthrough separately if required</t>
  </si>
  <si>
    <t>Nil</t>
  </si>
  <si>
    <t xml:space="preserve">The revenue requirement is calculated over a term of 5 years from FY24, then averaged to determine annualised revenue. This annualised revenue requirement is then divided by the forecast total firm capacity available on the pipe to determine a $/GJ/day tariff. </t>
  </si>
  <si>
    <t>Braemar Pipeline: Rate of return calculation</t>
  </si>
  <si>
    <t>The rate of return is a material variable in the calcuation of allowed revenue in the building block methodology. The RoR calculation follows the method set out in the AER Rate of return Instrument, Febuary 2023, for the calculation of the Return on equity and hence the calculation of the rate of return.  The calculation diverges from AER benchmarks for Gearing ratio and equity beta for a  less diversable, higher risk asset with more exposure to economy-wide risk than regulated monopoly scheme pipelines.</t>
  </si>
  <si>
    <t xml:space="preserve">Element </t>
  </si>
  <si>
    <t>Parameter value</t>
  </si>
  <si>
    <t>Comment</t>
  </si>
  <si>
    <t>Rate of return - Transporter</t>
  </si>
  <si>
    <t>per Rate of Return instrument based on Transportery's gearing ratio, Return on equity</t>
  </si>
  <si>
    <t>Gearing ratio - Transporter</t>
  </si>
  <si>
    <t>Provided by Transporter, with a higher proportion of equity as a less diversable, higher risk asset</t>
  </si>
  <si>
    <t>Subtotal Return on equity</t>
  </si>
  <si>
    <t>Return on equity - Transporter</t>
  </si>
  <si>
    <t>per Rate of Return instrument based on Transporter's equity beta</t>
  </si>
  <si>
    <t>Equity beta - Transporter</t>
  </si>
  <si>
    <t>Provided by Transporter, with a higher beta risk reflecting less insulation from economy-wide risk than scheme pipelines</t>
  </si>
  <si>
    <t>Market risk premium (mrp)</t>
  </si>
  <si>
    <t>AER benchmark in Rate of Return instrument 2023</t>
  </si>
  <si>
    <t>Risk free rate</t>
  </si>
  <si>
    <t>Return on debt</t>
  </si>
  <si>
    <t>Provided by Transporter</t>
  </si>
  <si>
    <t>Braemar Pipeline Standing Price Calculations: 2023 Pipeline reform disclosure obligations</t>
  </si>
  <si>
    <t>https://www.aer.gov.au/system/files/AER%20-%20Draft%20-%20Pipeline%20information%20disclosure%20guidelines%20and%20Price%20reporting%20guidelines%20for%20Part%2018A%20facilities%20-%2026%20July%202023_0.pdf</t>
  </si>
  <si>
    <t xml:space="preserve">Date: </t>
  </si>
  <si>
    <t>For Pipeline regulation reforms - standing price to be published publicly</t>
  </si>
  <si>
    <t>FY17</t>
  </si>
  <si>
    <t>Assumptions</t>
  </si>
  <si>
    <t>%</t>
  </si>
  <si>
    <t>CPI All states</t>
  </si>
  <si>
    <t>Forecast CPI is as per Transporter internal forecasts</t>
  </si>
  <si>
    <t>Cumulative Inflation Index (CPI end period)</t>
  </si>
  <si>
    <t>Straight line depreciation of remaining design life</t>
  </si>
  <si>
    <t>see Rate of return worksheet</t>
  </si>
  <si>
    <t>Firm Capacity (Condamine RBP)</t>
  </si>
  <si>
    <t>GJ/d</t>
  </si>
  <si>
    <t>As per power station advice, capacity available under most circumstances</t>
  </si>
  <si>
    <t>Pipeline completed</t>
  </si>
  <si>
    <t xml:space="preserve">Pipeline was built </t>
  </si>
  <si>
    <t xml:space="preserve">Design life </t>
  </si>
  <si>
    <t>Aligned to Valuation assumptions</t>
  </si>
  <si>
    <t>End of life</t>
  </si>
  <si>
    <t>Start date + Design life</t>
  </si>
  <si>
    <t>Count</t>
  </si>
  <si>
    <t>Capital base, and roll-forward of the capital base</t>
  </si>
  <si>
    <t>$real 2017</t>
  </si>
  <si>
    <t>As per valuation done as at part of CTF acquisition (by EY) Jun-17</t>
  </si>
  <si>
    <t>Opening Asset Base</t>
  </si>
  <si>
    <t>$nominal</t>
  </si>
  <si>
    <t>Inflation of opening Asset Base</t>
  </si>
  <si>
    <t>Historical</t>
  </si>
  <si>
    <t>Rehabilitation bond</t>
  </si>
  <si>
    <t>$real 2024</t>
  </si>
  <si>
    <t>Forecast 5YP</t>
  </si>
  <si>
    <t>Disposal</t>
  </si>
  <si>
    <t>Depreciation (Return of capital)</t>
  </si>
  <si>
    <t>Closing Asset Base</t>
  </si>
  <si>
    <t>Revenue building blocks</t>
  </si>
  <si>
    <t>Return on Capital</t>
  </si>
  <si>
    <t>Operating expenses (contract maintenance)</t>
  </si>
  <si>
    <t>Ad Hoc Operating Expenses</t>
  </si>
  <si>
    <t>Depreciation recovery</t>
  </si>
  <si>
    <t>Based on 30% corporate tax rate</t>
  </si>
  <si>
    <t>Total Required Revenue</t>
  </si>
  <si>
    <t>Standing Firm Price (smoothed)</t>
  </si>
  <si>
    <t>Firm Capacity Available</t>
  </si>
  <si>
    <t>GJ</t>
  </si>
  <si>
    <t>Standing Firm Price (yearly)</t>
  </si>
  <si>
    <t>$/GJ/day</t>
  </si>
  <si>
    <t>Indicative rolling Standing Firm Price</t>
  </si>
  <si>
    <t>Firm Forwardhaul charge $/GJ MDQ/Day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</si>
</sst>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_-&quot;$&quot;* #,##0_-;\-&quot;$&quot;* #,##0_-;_-&quot;$&quot;* &quot;-&quot;??_-;_-@"/>
    <numFmt numFmtId="166" formatCode="_-&quot;$&quot;* #,##0.00_-;\-&quot;$&quot;* #,##0.00_-;_-&quot;$&quot;* &quot;-&quot;??_-;_-@"/>
    <numFmt numFmtId="167" formatCode="_-* #,##0_-;\-* #,##0_-;_-* &quot;-&quot;??_-;_-@"/>
    <numFmt numFmtId="168" formatCode="_-&quot;$&quot;* #,##0.000_-;\-&quot;$&quot;* #,##0.000_-;_-&quot;$&quot;* &quot;-&quot;??_-;_-@"/>
    <numFmt numFmtId="169" formatCode="&quot;$&quot;#,##0"/>
  </numFmts>
  <fonts count="16" x14ac:knownFonts="1">
    <font>
      <sz val="11"/>
      <color theme="1"/>
      <name val="Arial"/>
      <scheme val="minor"/>
    </font>
    <font>
      <b/>
      <sz val="11"/>
      <color theme="1"/>
      <name val="Arial"/>
    </font>
    <font>
      <sz val="11"/>
      <color theme="1"/>
      <name val="Arial"/>
    </font>
    <font>
      <b/>
      <sz val="10"/>
      <color theme="1"/>
      <name val="Arial"/>
    </font>
    <font>
      <sz val="10"/>
      <color theme="1"/>
      <name val="Arial"/>
    </font>
    <font>
      <sz val="10"/>
      <color theme="0"/>
      <name val="Arial"/>
    </font>
    <font>
      <sz val="11"/>
      <color theme="1"/>
      <name val="Arial"/>
      <scheme val="minor"/>
    </font>
    <font>
      <b/>
      <sz val="12"/>
      <color theme="0"/>
      <name val="Arial"/>
    </font>
    <font>
      <sz val="12"/>
      <color theme="0"/>
      <name val="Arial"/>
    </font>
    <font>
      <u/>
      <sz val="12"/>
      <color theme="10"/>
      <name val="Arial"/>
    </font>
    <font>
      <sz val="12"/>
      <color theme="1"/>
      <name val="Arial"/>
    </font>
    <font>
      <b/>
      <sz val="12"/>
      <color theme="1"/>
      <name val="Arial"/>
    </font>
    <font>
      <i/>
      <sz val="12"/>
      <color rgb="FF7F7F7F"/>
      <name val="Arial"/>
    </font>
    <font>
      <i/>
      <sz val="12"/>
      <color theme="1"/>
      <name val="Arial"/>
    </font>
    <font>
      <sz val="12"/>
      <color rgb="FFFF0000"/>
      <name val="Arial"/>
    </font>
    <font>
      <b/>
      <sz val="12"/>
      <color rgb="FF3F3F3F"/>
      <name val="Arial"/>
    </font>
  </fonts>
  <fills count="6">
    <fill>
      <patternFill patternType="none"/>
    </fill>
    <fill>
      <patternFill patternType="gray125"/>
    </fill>
    <fill>
      <patternFill patternType="solid">
        <fgColor rgb="FF3F3F3F"/>
        <bgColor rgb="FF3F3F3F"/>
      </patternFill>
    </fill>
    <fill>
      <patternFill patternType="solid">
        <fgColor rgb="FFD8D8D8"/>
        <bgColor rgb="FFD8D8D8"/>
      </patternFill>
    </fill>
    <fill>
      <patternFill patternType="solid">
        <fgColor rgb="FFFFFF00"/>
        <bgColor rgb="FFFFFF00"/>
      </patternFill>
    </fill>
    <fill>
      <patternFill patternType="solid">
        <fgColor rgb="FFF2F2F2"/>
        <bgColor rgb="FFF2F2F2"/>
      </patternFill>
    </fill>
  </fills>
  <borders count="26">
    <border>
      <left/>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7">
    <xf numFmtId="0" fontId="0" fillId="0" borderId="0" xfId="0"/>
    <xf numFmtId="0" fontId="1" fillId="0" borderId="0" xfId="0" applyFont="1"/>
    <xf numFmtId="0" fontId="2" fillId="0" borderId="0" xfId="0" applyFont="1"/>
    <xf numFmtId="0" fontId="2" fillId="0" borderId="0" xfId="0" applyFont="1" applyAlignment="1">
      <alignmen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vertical="top"/>
    </xf>
    <xf numFmtId="0" fontId="4" fillId="0" borderId="5" xfId="0" applyFont="1" applyBorder="1"/>
    <xf numFmtId="0" fontId="4" fillId="0" borderId="0" xfId="0" applyFont="1"/>
    <xf numFmtId="0" fontId="4" fillId="0" borderId="6" xfId="0" applyFont="1" applyBorder="1"/>
    <xf numFmtId="0" fontId="4" fillId="0" borderId="7" xfId="0" applyFont="1" applyBorder="1"/>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xf numFmtId="0" fontId="4" fillId="0" borderId="14" xfId="0" applyFont="1" applyBorder="1"/>
    <xf numFmtId="164" fontId="4" fillId="0" borderId="15" xfId="0" applyNumberFormat="1" applyFont="1" applyBorder="1"/>
    <xf numFmtId="164" fontId="4" fillId="0" borderId="16" xfId="0" applyNumberFormat="1" applyFont="1" applyBorder="1"/>
    <xf numFmtId="0" fontId="4" fillId="0" borderId="12" xfId="0" applyFont="1" applyBorder="1"/>
    <xf numFmtId="0" fontId="2" fillId="0" borderId="12" xfId="0" applyFont="1" applyBorder="1"/>
    <xf numFmtId="0" fontId="4" fillId="0" borderId="11" xfId="0" applyFont="1" applyBorder="1"/>
    <xf numFmtId="164" fontId="4" fillId="0" borderId="12" xfId="0" applyNumberFormat="1" applyFont="1" applyBorder="1"/>
    <xf numFmtId="164" fontId="4" fillId="0" borderId="13" xfId="0" applyNumberFormat="1" applyFont="1" applyBorder="1"/>
    <xf numFmtId="3" fontId="4" fillId="0" borderId="15" xfId="0" applyNumberFormat="1" applyFont="1" applyBorder="1"/>
    <xf numFmtId="3" fontId="4" fillId="0" borderId="14" xfId="0" applyNumberFormat="1" applyFont="1" applyBorder="1"/>
    <xf numFmtId="0" fontId="4" fillId="0" borderId="15" xfId="0" applyFont="1" applyBorder="1"/>
    <xf numFmtId="10" fontId="4" fillId="0" borderId="14" xfId="0" applyNumberFormat="1" applyFont="1" applyBorder="1"/>
    <xf numFmtId="164" fontId="4" fillId="0" borderId="14" xfId="0" applyNumberFormat="1" applyFont="1" applyBorder="1"/>
    <xf numFmtId="0" fontId="3" fillId="0" borderId="11" xfId="0" applyFont="1" applyBorder="1"/>
    <xf numFmtId="165" fontId="4" fillId="0" borderId="14" xfId="0" applyNumberFormat="1" applyFont="1" applyBorder="1"/>
    <xf numFmtId="0" fontId="4" fillId="0" borderId="11" xfId="0" applyFont="1" applyBorder="1" applyAlignment="1">
      <alignment vertical="top"/>
    </xf>
    <xf numFmtId="0" fontId="4" fillId="0" borderId="12" xfId="0" applyFont="1" applyBorder="1" applyAlignment="1">
      <alignment horizontal="left" vertical="top" wrapText="1"/>
    </xf>
    <xf numFmtId="165" fontId="4" fillId="0" borderId="11" xfId="0" applyNumberFormat="1" applyFont="1" applyBorder="1"/>
    <xf numFmtId="165" fontId="4" fillId="0" borderId="12" xfId="0" applyNumberFormat="1" applyFont="1" applyBorder="1"/>
    <xf numFmtId="165" fontId="4" fillId="0" borderId="13" xfId="0" applyNumberFormat="1" applyFont="1" applyBorder="1"/>
    <xf numFmtId="0" fontId="4" fillId="0" borderId="12" xfId="0" applyFont="1" applyBorder="1" applyAlignment="1">
      <alignment wrapText="1"/>
    </xf>
    <xf numFmtId="9" fontId="4" fillId="0" borderId="14" xfId="0" applyNumberFormat="1" applyFont="1" applyBorder="1"/>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xf numFmtId="0" fontId="4" fillId="0" borderId="20" xfId="0" applyFont="1" applyBorder="1"/>
    <xf numFmtId="0" fontId="4" fillId="0" borderId="17" xfId="0" applyFont="1" applyBorder="1"/>
    <xf numFmtId="0" fontId="4" fillId="0" borderId="18" xfId="0" applyFont="1" applyBorder="1"/>
    <xf numFmtId="0" fontId="1" fillId="0" borderId="21" xfId="0" applyFont="1" applyBorder="1" applyAlignment="1">
      <alignment vertical="top" wrapText="1"/>
    </xf>
    <xf numFmtId="0" fontId="1" fillId="0" borderId="21" xfId="0" applyFont="1" applyBorder="1" applyAlignment="1">
      <alignment vertical="top"/>
    </xf>
    <xf numFmtId="164" fontId="1" fillId="0" borderId="0" xfId="0" applyNumberFormat="1" applyFont="1"/>
    <xf numFmtId="0" fontId="6" fillId="0" borderId="0" xfId="0" applyFont="1"/>
    <xf numFmtId="164" fontId="2" fillId="0" borderId="0" xfId="0" applyNumberFormat="1" applyFont="1"/>
    <xf numFmtId="2" fontId="2" fillId="0" borderId="0" xfId="0" applyNumberFormat="1" applyFont="1"/>
    <xf numFmtId="0" fontId="7" fillId="2" borderId="9" xfId="0" applyFont="1" applyFill="1" applyBorder="1"/>
    <xf numFmtId="0" fontId="8" fillId="2" borderId="9" xfId="0" applyFont="1" applyFill="1" applyBorder="1" applyAlignment="1">
      <alignment horizontal="center"/>
    </xf>
    <xf numFmtId="0" fontId="8" fillId="2" borderId="9" xfId="0" applyFont="1" applyFill="1" applyBorder="1"/>
    <xf numFmtId="0" fontId="9" fillId="2" borderId="9" xfId="0" applyFont="1" applyFill="1" applyBorder="1"/>
    <xf numFmtId="17" fontId="8" fillId="2" borderId="9" xfId="0" applyNumberFormat="1" applyFont="1" applyFill="1" applyBorder="1" applyAlignment="1">
      <alignment horizontal="center"/>
    </xf>
    <xf numFmtId="17" fontId="8" fillId="2" borderId="9" xfId="0" applyNumberFormat="1" applyFont="1" applyFill="1" applyBorder="1"/>
    <xf numFmtId="165" fontId="10" fillId="0" borderId="0" xfId="0" applyNumberFormat="1" applyFont="1"/>
    <xf numFmtId="0" fontId="10" fillId="0" borderId="0" xfId="0" applyFont="1"/>
    <xf numFmtId="0" fontId="11" fillId="0" borderId="0" xfId="0" applyFont="1"/>
    <xf numFmtId="0" fontId="11" fillId="0" borderId="0" xfId="0" applyFont="1" applyAlignment="1">
      <alignment horizontal="center"/>
    </xf>
    <xf numFmtId="0" fontId="10" fillId="0" borderId="16" xfId="0" applyFont="1" applyBorder="1"/>
    <xf numFmtId="0" fontId="10" fillId="0" borderId="16" xfId="0" applyFont="1" applyBorder="1" applyAlignment="1">
      <alignment horizontal="center"/>
    </xf>
    <xf numFmtId="164" fontId="10" fillId="0" borderId="16" xfId="0" applyNumberFormat="1" applyFont="1" applyBorder="1"/>
    <xf numFmtId="2" fontId="10" fillId="0" borderId="16" xfId="0" applyNumberFormat="1" applyFont="1" applyBorder="1"/>
    <xf numFmtId="10" fontId="10" fillId="0" borderId="16" xfId="0" applyNumberFormat="1" applyFont="1" applyBorder="1"/>
    <xf numFmtId="3" fontId="10" fillId="0" borderId="16" xfId="0" applyNumberFormat="1" applyFont="1" applyBorder="1"/>
    <xf numFmtId="0" fontId="10" fillId="0" borderId="0" xfId="0" applyFont="1" applyAlignment="1">
      <alignment horizontal="center"/>
    </xf>
    <xf numFmtId="1" fontId="10" fillId="0" borderId="16" xfId="0" applyNumberFormat="1" applyFont="1" applyBorder="1"/>
    <xf numFmtId="164" fontId="10" fillId="0" borderId="0" xfId="0" applyNumberFormat="1" applyFont="1"/>
    <xf numFmtId="0" fontId="10" fillId="0" borderId="0" xfId="0" applyFont="1" applyAlignment="1">
      <alignment horizontal="left"/>
    </xf>
    <xf numFmtId="165" fontId="11" fillId="0" borderId="0" xfId="0" applyNumberFormat="1" applyFont="1"/>
    <xf numFmtId="0" fontId="10" fillId="0" borderId="22" xfId="0" applyFont="1" applyBorder="1"/>
    <xf numFmtId="0" fontId="10" fillId="0" borderId="22" xfId="0" applyFont="1" applyBorder="1" applyAlignment="1">
      <alignment horizontal="left"/>
    </xf>
    <xf numFmtId="166" fontId="10" fillId="0" borderId="22" xfId="0" applyNumberFormat="1" applyFont="1" applyBorder="1"/>
    <xf numFmtId="165" fontId="10" fillId="0" borderId="22" xfId="0" applyNumberFormat="1" applyFont="1" applyBorder="1"/>
    <xf numFmtId="165" fontId="12" fillId="0" borderId="0" xfId="0" applyNumberFormat="1" applyFont="1"/>
    <xf numFmtId="0" fontId="13" fillId="0" borderId="0" xfId="0" applyFont="1"/>
    <xf numFmtId="0" fontId="13" fillId="0" borderId="0" xfId="0" applyFont="1" applyAlignment="1">
      <alignment horizontal="left"/>
    </xf>
    <xf numFmtId="165" fontId="13" fillId="3" borderId="9" xfId="0" applyNumberFormat="1" applyFont="1" applyFill="1" applyBorder="1"/>
    <xf numFmtId="165" fontId="13" fillId="0" borderId="0" xfId="0" applyNumberFormat="1" applyFont="1"/>
    <xf numFmtId="0" fontId="10" fillId="0" borderId="23" xfId="0" applyFont="1" applyBorder="1"/>
    <xf numFmtId="0" fontId="10" fillId="0" borderId="23" xfId="0" applyFont="1" applyBorder="1" applyAlignment="1">
      <alignment horizontal="left"/>
    </xf>
    <xf numFmtId="165" fontId="10" fillId="0" borderId="23" xfId="0" applyNumberFormat="1" applyFont="1" applyBorder="1"/>
    <xf numFmtId="0" fontId="14" fillId="0" borderId="0" xfId="0" applyFont="1"/>
    <xf numFmtId="0" fontId="8" fillId="2" borderId="9" xfId="0" applyFont="1" applyFill="1" applyBorder="1" applyAlignment="1">
      <alignment horizontal="left"/>
    </xf>
    <xf numFmtId="10" fontId="10" fillId="0" borderId="0" xfId="0" applyNumberFormat="1" applyFont="1"/>
    <xf numFmtId="165" fontId="10" fillId="3" borderId="9" xfId="0" applyNumberFormat="1" applyFont="1" applyFill="1" applyBorder="1"/>
    <xf numFmtId="0" fontId="10" fillId="0" borderId="0" xfId="0" applyFont="1" applyAlignment="1">
      <alignment vertical="top" wrapText="1"/>
    </xf>
    <xf numFmtId="0" fontId="11" fillId="0" borderId="2" xfId="0" applyFont="1" applyBorder="1"/>
    <xf numFmtId="0" fontId="11" fillId="0" borderId="2" xfId="0" applyFont="1" applyBorder="1" applyAlignment="1">
      <alignment horizontal="left"/>
    </xf>
    <xf numFmtId="165" fontId="11" fillId="0" borderId="2" xfId="0" applyNumberFormat="1" applyFont="1" applyBorder="1"/>
    <xf numFmtId="0" fontId="10" fillId="0" borderId="24" xfId="0" applyFont="1" applyBorder="1"/>
    <xf numFmtId="167" fontId="10" fillId="0" borderId="0" xfId="0" applyNumberFormat="1" applyFont="1"/>
    <xf numFmtId="166" fontId="10" fillId="0" borderId="0" xfId="0" applyNumberFormat="1" applyFont="1"/>
    <xf numFmtId="168" fontId="10" fillId="0" borderId="0" xfId="0" applyNumberFormat="1" applyFont="1"/>
    <xf numFmtId="169" fontId="10" fillId="0" borderId="0" xfId="0" applyNumberFormat="1" applyFont="1"/>
    <xf numFmtId="0" fontId="11" fillId="0" borderId="25" xfId="0" applyFont="1" applyBorder="1"/>
    <xf numFmtId="0" fontId="11" fillId="0" borderId="25" xfId="0" applyFont="1" applyBorder="1" applyAlignment="1">
      <alignment horizontal="center"/>
    </xf>
    <xf numFmtId="0" fontId="11" fillId="4" borderId="25" xfId="0" applyFont="1" applyFill="1" applyBorder="1"/>
    <xf numFmtId="168" fontId="15" fillId="4" borderId="25" xfId="0" applyNumberFormat="1" applyFont="1" applyFill="1" applyBorder="1"/>
    <xf numFmtId="168" fontId="15" fillId="5" borderId="9" xfId="0" applyNumberFormat="1" applyFont="1" applyFill="1" applyBorder="1"/>
    <xf numFmtId="9" fontId="10" fillId="0" borderId="0" xfId="0" applyNumberFormat="1" applyFont="1"/>
    <xf numFmtId="0" fontId="2"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19050</xdr:colOff>
      <xdr:row>2</xdr:row>
      <xdr:rowOff>0</xdr:rowOff>
    </xdr:from>
    <xdr:ext cx="4695825"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3</xdr:row>
      <xdr:rowOff>47625</xdr:rowOff>
    </xdr:from>
    <xdr:ext cx="5400675" cy="476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0</xdr:colOff>
      <xdr:row>4</xdr:row>
      <xdr:rowOff>0</xdr:rowOff>
    </xdr:from>
    <xdr:ext cx="5476875" cy="6381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5</xdr:row>
      <xdr:rowOff>0</xdr:rowOff>
    </xdr:from>
    <xdr:ext cx="3095625" cy="400050"/>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47625</xdr:colOff>
      <xdr:row>4</xdr:row>
      <xdr:rowOff>104775</xdr:rowOff>
    </xdr:from>
    <xdr:ext cx="2790825" cy="542925"/>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aer.gov.au/system/files/AER%20-%20Draft%20-%20Pipeline%20information%20disclosure%20guidelines%20and%20Price%20reporting%20guidelines%20for%20Part%2018A%20facilities%20-%2026%20July%202023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1000"/>
  <sheetViews>
    <sheetView showGridLines="0" tabSelected="1" workbookViewId="0"/>
  </sheetViews>
  <sheetFormatPr defaultColWidth="12.625" defaultRowHeight="15" customHeight="1" x14ac:dyDescent="0.35"/>
  <cols>
    <col min="1" max="1" width="35.875" customWidth="1"/>
    <col min="2" max="2" width="56.25" customWidth="1"/>
    <col min="3" max="3" width="7.75" customWidth="1"/>
    <col min="4" max="4" width="13.125" customWidth="1"/>
    <col min="5" max="5" width="11.75" customWidth="1"/>
    <col min="6" max="6" width="10.125" customWidth="1"/>
    <col min="7" max="8" width="10.5" customWidth="1"/>
    <col min="9" max="11" width="10.125" customWidth="1"/>
    <col min="12" max="14" width="11.75" customWidth="1"/>
    <col min="15" max="17" width="10.125" customWidth="1"/>
    <col min="18" max="18" width="11.75" customWidth="1"/>
    <col min="19" max="26" width="9" customWidth="1"/>
  </cols>
  <sheetData>
    <row r="1" spans="1:26" ht="26.25" customHeight="1" x14ac:dyDescent="0.4">
      <c r="A1" s="1" t="s">
        <v>0</v>
      </c>
      <c r="B1" s="2"/>
      <c r="C1" s="2"/>
      <c r="D1" s="2"/>
      <c r="E1" s="2"/>
      <c r="F1" s="2"/>
      <c r="G1" s="2"/>
      <c r="H1" s="2"/>
      <c r="I1" s="2"/>
      <c r="J1" s="2"/>
      <c r="K1" s="2"/>
      <c r="L1" s="2"/>
      <c r="M1" s="2"/>
      <c r="N1" s="2"/>
      <c r="O1" s="2"/>
      <c r="P1" s="2"/>
      <c r="Q1" s="2"/>
      <c r="R1" s="2"/>
      <c r="S1" s="2"/>
      <c r="T1" s="2"/>
      <c r="U1" s="2"/>
      <c r="V1" s="2"/>
      <c r="W1" s="2"/>
      <c r="X1" s="2"/>
      <c r="Y1" s="2"/>
      <c r="Z1" s="2"/>
    </row>
    <row r="2" spans="1:26" ht="312.75" customHeight="1" x14ac:dyDescent="0.35">
      <c r="A2" s="105" t="s">
        <v>1</v>
      </c>
      <c r="B2" s="106"/>
      <c r="C2" s="106"/>
      <c r="D2" s="106"/>
      <c r="E2" s="106"/>
      <c r="F2" s="2"/>
      <c r="G2" s="2"/>
      <c r="H2" s="2"/>
      <c r="I2" s="2"/>
      <c r="J2" s="2"/>
      <c r="K2" s="2"/>
      <c r="L2" s="2"/>
      <c r="M2" s="2"/>
      <c r="N2" s="2"/>
      <c r="O2" s="2"/>
      <c r="P2" s="2"/>
      <c r="Q2" s="2"/>
      <c r="R2" s="2"/>
      <c r="S2" s="2"/>
      <c r="T2" s="2"/>
      <c r="U2" s="2"/>
      <c r="V2" s="2"/>
      <c r="W2" s="2"/>
      <c r="X2" s="2"/>
      <c r="Y2" s="2"/>
      <c r="Z2" s="2"/>
    </row>
    <row r="3" spans="1:26" ht="39" customHeight="1" x14ac:dyDescent="0.35">
      <c r="A3" s="3" t="s">
        <v>2</v>
      </c>
      <c r="B3" s="3"/>
      <c r="C3" s="2"/>
      <c r="D3" s="2"/>
      <c r="E3" s="2"/>
      <c r="F3" s="2"/>
      <c r="G3" s="2"/>
      <c r="H3" s="2"/>
      <c r="I3" s="2"/>
      <c r="J3" s="2"/>
      <c r="K3" s="2"/>
      <c r="L3" s="2"/>
      <c r="M3" s="2"/>
      <c r="N3" s="2"/>
      <c r="O3" s="2"/>
      <c r="P3" s="2"/>
      <c r="Q3" s="2"/>
      <c r="R3" s="2"/>
      <c r="S3" s="2"/>
      <c r="T3" s="2"/>
      <c r="U3" s="2"/>
      <c r="V3" s="2"/>
      <c r="W3" s="2"/>
      <c r="X3" s="2"/>
      <c r="Y3" s="2"/>
      <c r="Z3" s="2"/>
    </row>
    <row r="4" spans="1:26" ht="45" customHeight="1" x14ac:dyDescent="0.35">
      <c r="A4" s="3" t="s">
        <v>3</v>
      </c>
      <c r="B4" s="3"/>
      <c r="C4" s="2"/>
      <c r="D4" s="2"/>
      <c r="E4" s="2"/>
      <c r="F4" s="2"/>
      <c r="G4" s="2"/>
      <c r="H4" s="2"/>
      <c r="I4" s="2"/>
      <c r="J4" s="2"/>
      <c r="K4" s="2"/>
      <c r="L4" s="2"/>
      <c r="M4" s="2"/>
      <c r="N4" s="2"/>
      <c r="O4" s="2"/>
      <c r="P4" s="2"/>
      <c r="Q4" s="2"/>
      <c r="R4" s="2"/>
      <c r="S4" s="2"/>
      <c r="T4" s="2"/>
      <c r="U4" s="2"/>
      <c r="V4" s="2"/>
      <c r="W4" s="2"/>
      <c r="X4" s="2"/>
      <c r="Y4" s="2"/>
      <c r="Z4" s="2"/>
    </row>
    <row r="5" spans="1:26" ht="57.75" customHeight="1" x14ac:dyDescent="0.35">
      <c r="A5" s="3" t="s">
        <v>4</v>
      </c>
      <c r="B5" s="3"/>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3" t="s">
        <v>5</v>
      </c>
      <c r="B6" s="3" t="s">
        <v>6</v>
      </c>
      <c r="C6" s="2"/>
      <c r="D6" s="2"/>
      <c r="E6" s="2"/>
      <c r="F6" s="2"/>
      <c r="G6" s="2"/>
      <c r="H6" s="2"/>
      <c r="I6" s="2"/>
      <c r="J6" s="2"/>
      <c r="K6" s="2"/>
      <c r="L6" s="2"/>
      <c r="M6" s="2"/>
      <c r="N6" s="2"/>
      <c r="O6" s="2"/>
      <c r="P6" s="2"/>
      <c r="Q6" s="2"/>
      <c r="R6" s="2"/>
      <c r="S6" s="2"/>
      <c r="T6" s="2"/>
      <c r="U6" s="2"/>
      <c r="V6" s="2"/>
      <c r="W6" s="2"/>
      <c r="X6" s="2"/>
      <c r="Y6" s="2"/>
      <c r="Z6" s="2"/>
    </row>
    <row r="7" spans="1:26" ht="14.25" customHeight="1" x14ac:dyDescent="0.35">
      <c r="A7" s="3"/>
      <c r="B7" s="3" t="s">
        <v>7</v>
      </c>
      <c r="C7" s="2"/>
      <c r="D7" s="2"/>
      <c r="E7" s="2"/>
      <c r="F7" s="2"/>
      <c r="G7" s="2"/>
      <c r="H7" s="2"/>
      <c r="I7" s="2"/>
      <c r="J7" s="2"/>
      <c r="K7" s="2"/>
      <c r="L7" s="2"/>
      <c r="M7" s="2"/>
      <c r="N7" s="2"/>
      <c r="O7" s="2"/>
      <c r="P7" s="2"/>
      <c r="Q7" s="2"/>
      <c r="R7" s="2"/>
      <c r="S7" s="2"/>
      <c r="T7" s="2"/>
      <c r="U7" s="2"/>
      <c r="V7" s="2"/>
      <c r="W7" s="2"/>
      <c r="X7" s="2"/>
      <c r="Y7" s="2"/>
      <c r="Z7" s="2"/>
    </row>
    <row r="8" spans="1:26" ht="14.25" customHeight="1" x14ac:dyDescent="0.35">
      <c r="A8" s="3"/>
      <c r="B8" s="2"/>
      <c r="C8" s="2"/>
      <c r="D8" s="2"/>
      <c r="E8" s="2"/>
      <c r="F8" s="2"/>
      <c r="G8" s="2"/>
      <c r="H8" s="2"/>
      <c r="I8" s="2"/>
      <c r="J8" s="2"/>
      <c r="K8" s="2"/>
      <c r="L8" s="2"/>
      <c r="M8" s="2"/>
      <c r="N8" s="2"/>
      <c r="O8" s="2"/>
      <c r="P8" s="2"/>
      <c r="Q8" s="2"/>
      <c r="R8" s="2"/>
      <c r="S8" s="2"/>
      <c r="T8" s="2"/>
      <c r="U8" s="2"/>
      <c r="V8" s="2"/>
      <c r="W8" s="2"/>
      <c r="X8" s="2"/>
      <c r="Y8" s="2"/>
      <c r="Z8" s="2"/>
    </row>
    <row r="9" spans="1:26" ht="14.25" customHeight="1" x14ac:dyDescent="0.35">
      <c r="A9" s="3"/>
      <c r="B9" s="3"/>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3"/>
      <c r="B10" s="3"/>
      <c r="C10" s="2"/>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4" t="s">
        <v>8</v>
      </c>
      <c r="B11" s="5" t="s">
        <v>9</v>
      </c>
      <c r="C11" s="6" t="s">
        <v>10</v>
      </c>
      <c r="D11" s="7" t="s">
        <v>11</v>
      </c>
      <c r="E11" s="8" t="s">
        <v>12</v>
      </c>
      <c r="F11" s="5"/>
      <c r="G11" s="5"/>
      <c r="H11" s="5"/>
      <c r="I11" s="5"/>
      <c r="J11" s="5"/>
      <c r="K11" s="5"/>
      <c r="L11" s="5"/>
      <c r="M11" s="5"/>
      <c r="N11" s="5"/>
      <c r="O11" s="5"/>
      <c r="P11" s="5"/>
      <c r="Q11" s="5"/>
      <c r="R11" s="6"/>
      <c r="S11" s="2"/>
      <c r="T11" s="2"/>
      <c r="U11" s="2"/>
      <c r="V11" s="2"/>
      <c r="W11" s="2"/>
      <c r="X11" s="2"/>
      <c r="Y11" s="2"/>
      <c r="Z11" s="2"/>
    </row>
    <row r="12" spans="1:26" ht="14.25" customHeight="1" x14ac:dyDescent="0.35">
      <c r="A12" s="9"/>
      <c r="B12" s="10"/>
      <c r="C12" s="11"/>
      <c r="D12" s="12"/>
      <c r="E12" s="13" t="s">
        <v>13</v>
      </c>
      <c r="F12" s="14" t="s">
        <v>14</v>
      </c>
      <c r="G12" s="14" t="s">
        <v>15</v>
      </c>
      <c r="H12" s="14" t="s">
        <v>16</v>
      </c>
      <c r="I12" s="14" t="s">
        <v>17</v>
      </c>
      <c r="J12" s="14" t="s">
        <v>18</v>
      </c>
      <c r="K12" s="14" t="s">
        <v>19</v>
      </c>
      <c r="L12" s="14" t="s">
        <v>20</v>
      </c>
      <c r="M12" s="14" t="s">
        <v>21</v>
      </c>
      <c r="N12" s="14" t="s">
        <v>22</v>
      </c>
      <c r="O12" s="14" t="s">
        <v>23</v>
      </c>
      <c r="P12" s="14" t="s">
        <v>24</v>
      </c>
      <c r="Q12" s="14" t="s">
        <v>25</v>
      </c>
      <c r="R12" s="15" t="s">
        <v>26</v>
      </c>
      <c r="S12" s="2"/>
      <c r="T12" s="2"/>
      <c r="U12" s="2"/>
      <c r="V12" s="2"/>
      <c r="W12" s="2"/>
      <c r="X12" s="2"/>
      <c r="Y12" s="2"/>
      <c r="Z12" s="2"/>
    </row>
    <row r="13" spans="1:26" ht="14.25" customHeight="1" x14ac:dyDescent="0.35">
      <c r="A13" s="16" t="s">
        <v>27</v>
      </c>
      <c r="B13" s="17" t="s">
        <v>28</v>
      </c>
      <c r="C13" s="18"/>
      <c r="D13" s="19"/>
      <c r="E13" s="20">
        <v>2.0776874435411097E-2</v>
      </c>
      <c r="F13" s="21">
        <v>1.5929203539823078E-2</v>
      </c>
      <c r="G13" s="21">
        <v>-3.4843205574912606E-3</v>
      </c>
      <c r="H13" s="21">
        <v>3.8461538461538325E-2</v>
      </c>
      <c r="I13" s="21">
        <v>6.1447811447811418E-2</v>
      </c>
      <c r="J13" s="21">
        <v>6.0269627279936566E-2</v>
      </c>
      <c r="K13" s="22"/>
      <c r="L13" s="22"/>
      <c r="M13" s="22"/>
      <c r="N13" s="22"/>
      <c r="O13" s="22"/>
      <c r="P13" s="22"/>
      <c r="Q13" s="22"/>
      <c r="R13" s="18"/>
      <c r="S13" s="23"/>
      <c r="T13" s="23"/>
      <c r="U13" s="23"/>
      <c r="V13" s="23"/>
      <c r="W13" s="23"/>
      <c r="X13" s="23"/>
      <c r="Y13" s="23"/>
      <c r="Z13" s="23"/>
    </row>
    <row r="14" spans="1:26" ht="14.25" customHeight="1" x14ac:dyDescent="0.35">
      <c r="A14" s="16" t="s">
        <v>29</v>
      </c>
      <c r="B14" s="17" t="s">
        <v>30</v>
      </c>
      <c r="C14" s="18"/>
      <c r="D14" s="19"/>
      <c r="E14" s="24"/>
      <c r="F14" s="22"/>
      <c r="G14" s="22"/>
      <c r="H14" s="22"/>
      <c r="I14" s="22"/>
      <c r="J14" s="22"/>
      <c r="K14" s="25">
        <v>0.04</v>
      </c>
      <c r="L14" s="25">
        <v>3.2500000000000001E-2</v>
      </c>
      <c r="M14" s="25">
        <v>2.75E-2</v>
      </c>
      <c r="N14" s="25">
        <v>2.5000000000000001E-2</v>
      </c>
      <c r="O14" s="25">
        <v>2.5000000000000001E-2</v>
      </c>
      <c r="P14" s="25">
        <v>2.5000000000000001E-2</v>
      </c>
      <c r="Q14" s="25">
        <v>2.5000000000000001E-2</v>
      </c>
      <c r="R14" s="26">
        <v>2.5000000000000001E-2</v>
      </c>
      <c r="S14" s="23"/>
      <c r="T14" s="23"/>
      <c r="U14" s="23"/>
      <c r="V14" s="23"/>
      <c r="W14" s="23"/>
      <c r="X14" s="23"/>
      <c r="Y14" s="23"/>
      <c r="Z14" s="23"/>
    </row>
    <row r="15" spans="1:26" ht="14.25" customHeight="1" x14ac:dyDescent="0.35">
      <c r="A15" s="27" t="s">
        <v>31</v>
      </c>
      <c r="B15" s="17" t="s">
        <v>32</v>
      </c>
      <c r="C15" s="18"/>
      <c r="D15" s="28">
        <f>'Standing Price Calculation '!E17</f>
        <v>28</v>
      </c>
      <c r="E15" s="24"/>
      <c r="F15" s="22"/>
      <c r="G15" s="22"/>
      <c r="H15" s="22"/>
      <c r="I15" s="22"/>
      <c r="J15" s="22"/>
      <c r="K15" s="25"/>
      <c r="L15" s="25"/>
      <c r="M15" s="25"/>
      <c r="N15" s="25"/>
      <c r="O15" s="25"/>
      <c r="P15" s="25"/>
      <c r="Q15" s="25"/>
      <c r="R15" s="26"/>
      <c r="S15" s="23"/>
      <c r="T15" s="23"/>
      <c r="U15" s="23"/>
      <c r="V15" s="23"/>
      <c r="W15" s="23"/>
      <c r="X15" s="23"/>
      <c r="Y15" s="23"/>
      <c r="Z15" s="23"/>
    </row>
    <row r="16" spans="1:26" ht="14.25" customHeight="1" x14ac:dyDescent="0.35">
      <c r="A16" s="29" t="s">
        <v>33</v>
      </c>
      <c r="B16" s="17" t="s">
        <v>34</v>
      </c>
      <c r="C16" s="18"/>
      <c r="D16" s="30">
        <f>1/D15</f>
        <v>3.5714285714285712E-2</v>
      </c>
      <c r="E16" s="24"/>
      <c r="F16" s="22"/>
      <c r="G16" s="22"/>
      <c r="H16" s="22"/>
      <c r="I16" s="22"/>
      <c r="J16" s="22"/>
      <c r="K16" s="22"/>
      <c r="L16" s="22"/>
      <c r="M16" s="22"/>
      <c r="N16" s="22"/>
      <c r="O16" s="22"/>
      <c r="P16" s="22"/>
      <c r="Q16" s="22"/>
      <c r="R16" s="18"/>
      <c r="S16" s="23"/>
      <c r="T16" s="23"/>
      <c r="U16" s="23"/>
      <c r="V16" s="23"/>
      <c r="W16" s="23"/>
      <c r="X16" s="23"/>
      <c r="Y16" s="23"/>
      <c r="Z16" s="23"/>
    </row>
    <row r="17" spans="1:26" ht="14.25" customHeight="1" x14ac:dyDescent="0.35">
      <c r="A17" s="29" t="s">
        <v>35</v>
      </c>
      <c r="B17" s="17" t="s">
        <v>36</v>
      </c>
      <c r="C17" s="18"/>
      <c r="D17" s="31">
        <f>'Rate of Return'!E11</f>
        <v>7.4479999999999991E-2</v>
      </c>
      <c r="E17" s="24"/>
      <c r="F17" s="22"/>
      <c r="G17" s="22"/>
      <c r="H17" s="22"/>
      <c r="I17" s="22"/>
      <c r="J17" s="22"/>
      <c r="K17" s="22"/>
      <c r="L17" s="22"/>
      <c r="M17" s="22"/>
      <c r="N17" s="22"/>
      <c r="O17" s="22"/>
      <c r="P17" s="22"/>
      <c r="Q17" s="22"/>
      <c r="R17" s="18"/>
      <c r="S17" s="23"/>
      <c r="T17" s="23"/>
      <c r="U17" s="23"/>
      <c r="V17" s="23"/>
      <c r="W17" s="23"/>
      <c r="X17" s="23"/>
      <c r="Y17" s="23"/>
      <c r="Z17" s="23"/>
    </row>
    <row r="18" spans="1:26" ht="14.25" customHeight="1" x14ac:dyDescent="0.4">
      <c r="A18" s="32" t="s">
        <v>37</v>
      </c>
      <c r="B18" s="22"/>
      <c r="C18" s="18"/>
      <c r="D18" s="19"/>
      <c r="E18" s="24"/>
      <c r="F18" s="22"/>
      <c r="G18" s="22"/>
      <c r="H18" s="22"/>
      <c r="I18" s="22"/>
      <c r="J18" s="22"/>
      <c r="K18" s="22"/>
      <c r="L18" s="22"/>
      <c r="M18" s="22"/>
      <c r="N18" s="22"/>
      <c r="O18" s="22"/>
      <c r="P18" s="22"/>
      <c r="Q18" s="22"/>
      <c r="R18" s="18"/>
      <c r="S18" s="23"/>
      <c r="T18" s="23"/>
      <c r="U18" s="23"/>
      <c r="V18" s="23"/>
      <c r="W18" s="23"/>
      <c r="X18" s="23"/>
      <c r="Y18" s="23"/>
      <c r="Z18" s="23"/>
    </row>
    <row r="19" spans="1:26" ht="14.25" customHeight="1" x14ac:dyDescent="0.35">
      <c r="A19" s="16" t="s">
        <v>38</v>
      </c>
      <c r="B19" s="17" t="s">
        <v>39</v>
      </c>
      <c r="C19" s="18"/>
      <c r="D19" s="33">
        <v>92032691.950578272</v>
      </c>
      <c r="E19" s="24"/>
      <c r="F19" s="22"/>
      <c r="G19" s="22"/>
      <c r="H19" s="22"/>
      <c r="I19" s="22"/>
      <c r="J19" s="22"/>
      <c r="K19" s="22"/>
      <c r="L19" s="22"/>
      <c r="M19" s="22"/>
      <c r="N19" s="22"/>
      <c r="O19" s="22"/>
      <c r="P19" s="22"/>
      <c r="Q19" s="22"/>
      <c r="R19" s="18"/>
      <c r="S19" s="23"/>
      <c r="T19" s="23"/>
      <c r="U19" s="23"/>
      <c r="V19" s="23"/>
      <c r="W19" s="23"/>
      <c r="X19" s="23"/>
      <c r="Y19" s="23"/>
      <c r="Z19" s="23"/>
    </row>
    <row r="20" spans="1:26" ht="14.25" customHeight="1" x14ac:dyDescent="0.35">
      <c r="A20" s="34" t="s">
        <v>40</v>
      </c>
      <c r="B20" s="35" t="s">
        <v>41</v>
      </c>
      <c r="C20" s="18"/>
      <c r="D20" s="19"/>
      <c r="E20" s="36">
        <v>177815.24</v>
      </c>
      <c r="F20" s="37">
        <v>112927.8</v>
      </c>
      <c r="G20" s="37">
        <v>139430.46</v>
      </c>
      <c r="H20" s="37">
        <v>0</v>
      </c>
      <c r="I20" s="37">
        <v>0</v>
      </c>
      <c r="J20" s="37">
        <v>0</v>
      </c>
      <c r="K20" s="37">
        <v>95000</v>
      </c>
      <c r="L20" s="37">
        <v>1968250</v>
      </c>
      <c r="M20" s="37">
        <v>2715000</v>
      </c>
      <c r="N20" s="37">
        <v>1014000</v>
      </c>
      <c r="O20" s="37">
        <v>60000</v>
      </c>
      <c r="P20" s="37">
        <v>810250</v>
      </c>
      <c r="Q20" s="37">
        <v>0</v>
      </c>
      <c r="R20" s="38">
        <v>2500000</v>
      </c>
      <c r="S20" s="23"/>
      <c r="T20" s="23"/>
      <c r="U20" s="23"/>
      <c r="V20" s="23"/>
      <c r="W20" s="23"/>
      <c r="X20" s="23"/>
      <c r="Y20" s="23"/>
      <c r="Z20" s="23"/>
    </row>
    <row r="21" spans="1:26" ht="14.25" customHeight="1" x14ac:dyDescent="0.35">
      <c r="A21" s="34"/>
      <c r="B21" s="35" t="s">
        <v>42</v>
      </c>
      <c r="C21" s="18"/>
      <c r="D21" s="33">
        <v>3700000</v>
      </c>
      <c r="E21" s="36">
        <f>(D21+D22)/D15</f>
        <v>128571.42857142857</v>
      </c>
      <c r="F21" s="37">
        <f t="shared" ref="F21:Q21" si="0">E21</f>
        <v>128571.42857142857</v>
      </c>
      <c r="G21" s="37">
        <f t="shared" si="0"/>
        <v>128571.42857142857</v>
      </c>
      <c r="H21" s="37">
        <f t="shared" si="0"/>
        <v>128571.42857142857</v>
      </c>
      <c r="I21" s="37">
        <f t="shared" si="0"/>
        <v>128571.42857142857</v>
      </c>
      <c r="J21" s="37">
        <f t="shared" si="0"/>
        <v>128571.42857142857</v>
      </c>
      <c r="K21" s="37">
        <f t="shared" si="0"/>
        <v>128571.42857142857</v>
      </c>
      <c r="L21" s="37">
        <f t="shared" si="0"/>
        <v>128571.42857142857</v>
      </c>
      <c r="M21" s="37">
        <f t="shared" si="0"/>
        <v>128571.42857142857</v>
      </c>
      <c r="N21" s="37">
        <f t="shared" si="0"/>
        <v>128571.42857142857</v>
      </c>
      <c r="O21" s="37">
        <f t="shared" si="0"/>
        <v>128571.42857142857</v>
      </c>
      <c r="P21" s="37">
        <f t="shared" si="0"/>
        <v>128571.42857142857</v>
      </c>
      <c r="Q21" s="37">
        <f t="shared" si="0"/>
        <v>128571.42857142857</v>
      </c>
      <c r="R21" s="38"/>
      <c r="S21" s="23"/>
      <c r="T21" s="23"/>
      <c r="U21" s="23"/>
      <c r="V21" s="23"/>
      <c r="W21" s="23"/>
      <c r="X21" s="23"/>
      <c r="Y21" s="23"/>
      <c r="Z21" s="23"/>
    </row>
    <row r="22" spans="1:26" ht="14.25" customHeight="1" x14ac:dyDescent="0.35">
      <c r="A22" s="34"/>
      <c r="B22" s="35" t="s">
        <v>43</v>
      </c>
      <c r="C22" s="18"/>
      <c r="D22" s="33">
        <v>-100000</v>
      </c>
      <c r="E22" s="36"/>
      <c r="F22" s="37"/>
      <c r="G22" s="37"/>
      <c r="H22" s="37"/>
      <c r="I22" s="37"/>
      <c r="J22" s="37"/>
      <c r="K22" s="37"/>
      <c r="L22" s="37"/>
      <c r="M22" s="37"/>
      <c r="N22" s="37"/>
      <c r="O22" s="37"/>
      <c r="P22" s="37"/>
      <c r="Q22" s="37">
        <f>D22</f>
        <v>-100000</v>
      </c>
      <c r="R22" s="18"/>
      <c r="S22" s="23"/>
      <c r="T22" s="23"/>
      <c r="U22" s="23"/>
      <c r="V22" s="23"/>
      <c r="W22" s="23"/>
      <c r="X22" s="23"/>
      <c r="Y22" s="23"/>
      <c r="Z22" s="23"/>
    </row>
    <row r="23" spans="1:26" ht="14.25" customHeight="1" x14ac:dyDescent="0.4">
      <c r="A23" s="32" t="s">
        <v>44</v>
      </c>
      <c r="B23" s="35"/>
      <c r="C23" s="18"/>
      <c r="D23" s="19"/>
      <c r="E23" s="36"/>
      <c r="F23" s="22"/>
      <c r="G23" s="22"/>
      <c r="H23" s="22"/>
      <c r="I23" s="22"/>
      <c r="J23" s="22"/>
      <c r="K23" s="22"/>
      <c r="L23" s="22"/>
      <c r="M23" s="22"/>
      <c r="N23" s="22"/>
      <c r="O23" s="22"/>
      <c r="P23" s="22"/>
      <c r="Q23" s="22"/>
      <c r="R23" s="18"/>
      <c r="S23" s="23"/>
      <c r="T23" s="23"/>
      <c r="U23" s="23"/>
      <c r="V23" s="23"/>
      <c r="W23" s="23"/>
      <c r="X23" s="23"/>
      <c r="Y23" s="23"/>
      <c r="Z23" s="23"/>
    </row>
    <row r="24" spans="1:26" ht="14.25" customHeight="1" x14ac:dyDescent="0.35">
      <c r="A24" s="16" t="s">
        <v>45</v>
      </c>
      <c r="B24" s="39" t="s">
        <v>46</v>
      </c>
      <c r="C24" s="18" t="s">
        <v>47</v>
      </c>
      <c r="D24" s="33">
        <v>463500</v>
      </c>
      <c r="E24" s="24"/>
      <c r="F24" s="37"/>
      <c r="G24" s="37"/>
      <c r="H24" s="37"/>
      <c r="I24" s="37"/>
      <c r="J24" s="37"/>
      <c r="K24" s="22"/>
      <c r="L24" s="22"/>
      <c r="M24" s="22"/>
      <c r="N24" s="22"/>
      <c r="O24" s="22"/>
      <c r="P24" s="22"/>
      <c r="Q24" s="22"/>
      <c r="R24" s="18"/>
      <c r="S24" s="23"/>
      <c r="T24" s="23"/>
      <c r="U24" s="23"/>
      <c r="V24" s="23"/>
      <c r="W24" s="23"/>
      <c r="X24" s="23"/>
      <c r="Y24" s="23"/>
      <c r="Z24" s="23"/>
    </row>
    <row r="25" spans="1:26" ht="14.25" customHeight="1" x14ac:dyDescent="0.35">
      <c r="A25" s="16"/>
      <c r="B25" s="39"/>
      <c r="C25" s="18" t="s">
        <v>48</v>
      </c>
      <c r="D25" s="19"/>
      <c r="E25" s="36"/>
      <c r="F25" s="37"/>
      <c r="G25" s="37"/>
      <c r="H25" s="37"/>
      <c r="I25" s="37"/>
      <c r="J25" s="37"/>
      <c r="K25" s="37">
        <v>695000</v>
      </c>
      <c r="L25" s="37">
        <v>499550</v>
      </c>
      <c r="M25" s="37">
        <v>514536.5</v>
      </c>
      <c r="N25" s="37">
        <v>437090.8</v>
      </c>
      <c r="O25" s="37">
        <v>512106.50900000002</v>
      </c>
      <c r="P25" s="37">
        <v>586663.25899999996</v>
      </c>
      <c r="Q25" s="37">
        <v>477620.91899999999</v>
      </c>
      <c r="R25" s="38">
        <v>0</v>
      </c>
      <c r="S25" s="23"/>
      <c r="T25" s="23"/>
      <c r="U25" s="23"/>
      <c r="V25" s="23"/>
      <c r="W25" s="23"/>
      <c r="X25" s="23"/>
      <c r="Y25" s="23"/>
      <c r="Z25" s="23"/>
    </row>
    <row r="26" spans="1:26" ht="14.25" customHeight="1" x14ac:dyDescent="0.35">
      <c r="A26" s="16" t="s">
        <v>49</v>
      </c>
      <c r="B26" s="17" t="s">
        <v>50</v>
      </c>
      <c r="C26" s="18"/>
      <c r="D26" s="40">
        <v>0.3</v>
      </c>
      <c r="E26" s="36"/>
      <c r="F26" s="22"/>
      <c r="G26" s="22"/>
      <c r="H26" s="22"/>
      <c r="I26" s="22"/>
      <c r="J26" s="22"/>
      <c r="K26" s="22"/>
      <c r="L26" s="22"/>
      <c r="M26" s="22"/>
      <c r="N26" s="22"/>
      <c r="O26" s="22"/>
      <c r="P26" s="22"/>
      <c r="Q26" s="22"/>
      <c r="R26" s="18"/>
      <c r="S26" s="23"/>
      <c r="T26" s="23"/>
      <c r="U26" s="23"/>
      <c r="V26" s="23"/>
      <c r="W26" s="23"/>
      <c r="X26" s="23"/>
      <c r="Y26" s="23"/>
      <c r="Z26" s="23"/>
    </row>
    <row r="27" spans="1:26" ht="14.25" customHeight="1" x14ac:dyDescent="0.35">
      <c r="A27" s="16"/>
      <c r="B27" s="17"/>
      <c r="C27" s="18"/>
      <c r="D27" s="19"/>
      <c r="E27" s="24"/>
      <c r="F27" s="22"/>
      <c r="G27" s="22"/>
      <c r="H27" s="22"/>
      <c r="I27" s="22"/>
      <c r="J27" s="22"/>
      <c r="K27" s="22"/>
      <c r="L27" s="22"/>
      <c r="M27" s="22"/>
      <c r="N27" s="22"/>
      <c r="O27" s="22"/>
      <c r="P27" s="22"/>
      <c r="Q27" s="22"/>
      <c r="R27" s="18"/>
      <c r="S27" s="23"/>
      <c r="T27" s="23"/>
      <c r="U27" s="23"/>
      <c r="V27" s="23"/>
      <c r="W27" s="23"/>
      <c r="X27" s="23"/>
      <c r="Y27" s="23"/>
      <c r="Z27" s="23"/>
    </row>
    <row r="28" spans="1:26" ht="14.25" customHeight="1" x14ac:dyDescent="0.4">
      <c r="A28" s="32" t="s">
        <v>51</v>
      </c>
      <c r="B28" s="17"/>
      <c r="C28" s="18"/>
      <c r="D28" s="19"/>
      <c r="E28" s="24"/>
      <c r="F28" s="22"/>
      <c r="G28" s="22"/>
      <c r="H28" s="22"/>
      <c r="I28" s="22"/>
      <c r="J28" s="22"/>
      <c r="K28" s="22"/>
      <c r="L28" s="22"/>
      <c r="M28" s="22"/>
      <c r="N28" s="22"/>
      <c r="O28" s="22"/>
      <c r="P28" s="22"/>
      <c r="Q28" s="22"/>
      <c r="R28" s="18"/>
      <c r="S28" s="23"/>
      <c r="T28" s="23"/>
      <c r="U28" s="23"/>
      <c r="V28" s="23"/>
      <c r="W28" s="23"/>
      <c r="X28" s="23"/>
      <c r="Y28" s="23"/>
      <c r="Z28" s="23"/>
    </row>
    <row r="29" spans="1:26" ht="14.25" customHeight="1" x14ac:dyDescent="0.35">
      <c r="A29" s="16" t="s">
        <v>52</v>
      </c>
      <c r="B29" s="17" t="s">
        <v>53</v>
      </c>
      <c r="C29" s="18"/>
      <c r="D29" s="19">
        <v>40000</v>
      </c>
      <c r="E29" s="24"/>
      <c r="F29" s="22"/>
      <c r="G29" s="22"/>
      <c r="H29" s="22"/>
      <c r="I29" s="22"/>
      <c r="J29" s="22"/>
      <c r="K29" s="22"/>
      <c r="L29" s="22"/>
      <c r="M29" s="22"/>
      <c r="N29" s="22"/>
      <c r="O29" s="22"/>
      <c r="P29" s="22"/>
      <c r="Q29" s="22"/>
      <c r="R29" s="18"/>
      <c r="S29" s="23"/>
      <c r="T29" s="23"/>
      <c r="U29" s="23"/>
      <c r="V29" s="23"/>
      <c r="W29" s="23"/>
      <c r="X29" s="23"/>
      <c r="Y29" s="23"/>
      <c r="Z29" s="23"/>
    </row>
    <row r="30" spans="1:26" ht="14.25" customHeight="1" x14ac:dyDescent="0.35">
      <c r="A30" s="16" t="s">
        <v>54</v>
      </c>
      <c r="B30" s="17" t="s">
        <v>55</v>
      </c>
      <c r="C30" s="18"/>
      <c r="D30" s="19" t="s">
        <v>56</v>
      </c>
      <c r="E30" s="24"/>
      <c r="F30" s="22"/>
      <c r="G30" s="22"/>
      <c r="H30" s="22"/>
      <c r="I30" s="22"/>
      <c r="J30" s="22"/>
      <c r="K30" s="22"/>
      <c r="L30" s="22"/>
      <c r="M30" s="22"/>
      <c r="N30" s="22"/>
      <c r="O30" s="22"/>
      <c r="P30" s="22"/>
      <c r="Q30" s="22"/>
      <c r="R30" s="18"/>
      <c r="S30" s="23"/>
      <c r="T30" s="23"/>
      <c r="U30" s="23"/>
      <c r="V30" s="23"/>
      <c r="W30" s="23"/>
      <c r="X30" s="23"/>
      <c r="Y30" s="23"/>
      <c r="Z30" s="23"/>
    </row>
    <row r="31" spans="1:26" ht="14.25" customHeight="1" x14ac:dyDescent="0.35">
      <c r="A31" s="41" t="s">
        <v>4</v>
      </c>
      <c r="B31" s="42" t="s">
        <v>57</v>
      </c>
      <c r="C31" s="43"/>
      <c r="D31" s="44"/>
      <c r="E31" s="45"/>
      <c r="F31" s="46"/>
      <c r="G31" s="46"/>
      <c r="H31" s="46"/>
      <c r="I31" s="46"/>
      <c r="J31" s="46"/>
      <c r="K31" s="46"/>
      <c r="L31" s="46"/>
      <c r="M31" s="46"/>
      <c r="N31" s="46"/>
      <c r="O31" s="46"/>
      <c r="P31" s="46"/>
      <c r="Q31" s="46"/>
      <c r="R31" s="43"/>
      <c r="S31" s="23"/>
      <c r="T31" s="23"/>
      <c r="U31" s="23"/>
      <c r="V31" s="23"/>
      <c r="W31" s="23"/>
      <c r="X31" s="23"/>
      <c r="Y31" s="23"/>
      <c r="Z31" s="23"/>
    </row>
    <row r="32" spans="1:26" ht="14.25" customHeight="1" x14ac:dyDescent="0.35">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emVMYUR6H5I9TIStHjS2kfUUsofL2j/sUlwZNVCOQTBT+0Oh2XqDte56/+iO83U/rChRaphDSUGZXGl2dxTF/A==" saltValue="LPuh7bHKpFp9RsRmUvYvVA==" spinCount="100000" sheet="1" objects="1" scenarios="1"/>
  <mergeCells count="1">
    <mergeCell ref="A2:E2"/>
  </mergeCells>
  <pageMargins left="0.7" right="0.7" top="0.75" bottom="0.75" header="0" footer="0"/>
  <pageSetup fitToHeight="0" orientation="landscape"/>
  <headerFooter>
    <oddHeader>&amp;L&amp;"Century Gothic"&amp;11&amp;KFF8C00 Classification: CONFIDENTIAL&amp;1#_x000D_</oddHeader>
    <oddFooter>&amp;L_x000D_&amp;1#&amp;"Century Gothic"&amp;11&amp;KFF8C00 Classification: CONFIDENTIAL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0"/>
  <sheetViews>
    <sheetView showGridLines="0" workbookViewId="0"/>
  </sheetViews>
  <sheetFormatPr defaultColWidth="12.625" defaultRowHeight="15" customHeight="1" x14ac:dyDescent="0.35"/>
  <cols>
    <col min="1" max="2" width="8.625" customWidth="1"/>
    <col min="3" max="3" width="4.75" customWidth="1"/>
    <col min="4" max="4" width="22.75" customWidth="1"/>
    <col min="5" max="5" width="18.875" customWidth="1"/>
    <col min="6" max="6" width="82.875" customWidth="1"/>
    <col min="7" max="26" width="8.625" customWidth="1"/>
  </cols>
  <sheetData>
    <row r="1" spans="2:6" ht="14.25" customHeight="1" x14ac:dyDescent="0.35"/>
    <row r="2" spans="2:6" ht="14.25" customHeight="1" x14ac:dyDescent="0.4">
      <c r="B2" s="1" t="s">
        <v>58</v>
      </c>
    </row>
    <row r="3" spans="2:6" ht="14.25" customHeight="1" x14ac:dyDescent="0.35">
      <c r="B3" s="105" t="s">
        <v>59</v>
      </c>
      <c r="C3" s="106"/>
      <c r="D3" s="106"/>
      <c r="E3" s="106"/>
      <c r="F3" s="106"/>
    </row>
    <row r="4" spans="2:6" ht="28.5" customHeight="1" x14ac:dyDescent="0.35">
      <c r="B4" s="106"/>
      <c r="C4" s="106"/>
      <c r="D4" s="106"/>
      <c r="E4" s="106"/>
      <c r="F4" s="106"/>
    </row>
    <row r="5" spans="2:6" ht="14.25" customHeight="1" x14ac:dyDescent="0.35"/>
    <row r="6" spans="2:6" ht="14.25" customHeight="1" x14ac:dyDescent="0.35"/>
    <row r="7" spans="2:6" ht="14.25" customHeight="1" x14ac:dyDescent="0.35"/>
    <row r="8" spans="2:6" ht="14.25" customHeight="1" x14ac:dyDescent="0.35"/>
    <row r="9" spans="2:6" ht="14.25" customHeight="1" x14ac:dyDescent="0.35">
      <c r="D9" s="47" t="s">
        <v>60</v>
      </c>
      <c r="E9" s="48" t="s">
        <v>61</v>
      </c>
      <c r="F9" s="47" t="s">
        <v>62</v>
      </c>
    </row>
    <row r="10" spans="2:6" ht="14.25" customHeight="1" x14ac:dyDescent="0.35"/>
    <row r="11" spans="2:6" ht="14.25" customHeight="1" x14ac:dyDescent="0.4">
      <c r="D11" s="1" t="s">
        <v>63</v>
      </c>
      <c r="E11" s="49">
        <f>E14*(1-E12)+E19*E12</f>
        <v>7.4479999999999991E-2</v>
      </c>
      <c r="F11" s="1" t="s">
        <v>64</v>
      </c>
    </row>
    <row r="12" spans="2:6" ht="14.25" customHeight="1" x14ac:dyDescent="0.35">
      <c r="D12" s="50" t="s">
        <v>65</v>
      </c>
      <c r="E12" s="50">
        <v>0.3</v>
      </c>
      <c r="F12" s="50" t="s">
        <v>66</v>
      </c>
    </row>
    <row r="13" spans="2:6" ht="14.25" customHeight="1" x14ac:dyDescent="0.35">
      <c r="D13" s="50" t="s">
        <v>67</v>
      </c>
    </row>
    <row r="14" spans="2:6" ht="14.25" customHeight="1" x14ac:dyDescent="0.4">
      <c r="D14" s="1" t="s">
        <v>68</v>
      </c>
      <c r="E14" s="49">
        <f>$E$17+E15*$E$16</f>
        <v>7.9399999999999998E-2</v>
      </c>
      <c r="F14" s="1" t="s">
        <v>69</v>
      </c>
    </row>
    <row r="15" spans="2:6" ht="14.25" customHeight="1" x14ac:dyDescent="0.35">
      <c r="D15" s="50" t="s">
        <v>70</v>
      </c>
      <c r="E15" s="50">
        <v>0.7</v>
      </c>
      <c r="F15" s="50" t="s">
        <v>71</v>
      </c>
    </row>
    <row r="16" spans="2:6" ht="14.25" customHeight="1" x14ac:dyDescent="0.35">
      <c r="D16" s="50" t="s">
        <v>72</v>
      </c>
      <c r="E16" s="51">
        <v>6.2E-2</v>
      </c>
      <c r="F16" s="50" t="s">
        <v>73</v>
      </c>
    </row>
    <row r="17" spans="4:6" ht="14.25" customHeight="1" x14ac:dyDescent="0.35">
      <c r="D17" s="50" t="s">
        <v>74</v>
      </c>
      <c r="E17" s="51">
        <v>3.5999999999999997E-2</v>
      </c>
      <c r="F17" s="50" t="s">
        <v>73</v>
      </c>
    </row>
    <row r="18" spans="4:6" ht="14.25" customHeight="1" x14ac:dyDescent="0.35"/>
    <row r="19" spans="4:6" ht="14.25" customHeight="1" x14ac:dyDescent="0.4">
      <c r="D19" s="1" t="s">
        <v>75</v>
      </c>
      <c r="E19" s="49">
        <v>6.3E-2</v>
      </c>
      <c r="F19" s="1" t="s">
        <v>76</v>
      </c>
    </row>
    <row r="20" spans="4:6" ht="14.25" customHeight="1" x14ac:dyDescent="0.35"/>
    <row r="21" spans="4:6" ht="14.25" customHeight="1" x14ac:dyDescent="0.35">
      <c r="E21" s="51"/>
    </row>
    <row r="22" spans="4:6" ht="14.25" customHeight="1" x14ac:dyDescent="0.35">
      <c r="E22" s="52"/>
    </row>
    <row r="23" spans="4:6" ht="14.25" customHeight="1" x14ac:dyDescent="0.35">
      <c r="E23" s="51"/>
    </row>
    <row r="24" spans="4:6" ht="14.25" customHeight="1" x14ac:dyDescent="0.35"/>
    <row r="25" spans="4:6" ht="14.25" customHeight="1" x14ac:dyDescent="0.35"/>
    <row r="26" spans="4:6" ht="14.25" customHeight="1" x14ac:dyDescent="0.35">
      <c r="E26" s="51"/>
    </row>
    <row r="27" spans="4:6" ht="14.25" customHeight="1" x14ac:dyDescent="0.35">
      <c r="E27" s="51"/>
    </row>
    <row r="28" spans="4:6" ht="14.25" customHeight="1" x14ac:dyDescent="0.35"/>
    <row r="29" spans="4:6" ht="14.25" customHeight="1" x14ac:dyDescent="0.35"/>
    <row r="30" spans="4:6" ht="14.25" customHeight="1" x14ac:dyDescent="0.35">
      <c r="E30" s="51"/>
    </row>
    <row r="31" spans="4:6" ht="14.25" customHeight="1" x14ac:dyDescent="0.35"/>
    <row r="32" spans="4: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oV2N6+jwlbHjF5FENXGM5GhnSoVFy9vmkx6ikqA4do4H/mds2maKgTHFUpwQWHKNsbiAugauSXx9PrsPBT6swQ==" saltValue="JWJGYsNujblB46UIGG11Yw==" spinCount="100000" sheet="1" objects="1" scenarios="1"/>
  <mergeCells count="1">
    <mergeCell ref="B3:F4"/>
  </mergeCells>
  <pageMargins left="0.7" right="0.7" top="0.75" bottom="0.75" header="0" footer="0"/>
  <pageSetup paperSize="9" orientation="portrait"/>
  <headerFooter>
    <oddHeader>&amp;L&amp;"Century Gothic"&amp;11&amp;KFF8C00 Classification: CONFIDENTIAL&amp;1#_x000D_</oddHeader>
    <oddFooter>&amp;L_x000D_&amp;1#&amp;"Century Gothic"&amp;11&amp;KFF8C00 Classification: CONFIDENTIAL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1000"/>
  <sheetViews>
    <sheetView showGridLines="0" workbookViewId="0">
      <pane xSplit="3" ySplit="4" topLeftCell="D5" activePane="bottomRight" state="frozen"/>
      <selection pane="topRight" activeCell="D1" sqref="D1"/>
      <selection pane="bottomLeft" activeCell="A5" sqref="A5"/>
      <selection pane="bottomRight" activeCell="D5" sqref="D5"/>
    </sheetView>
  </sheetViews>
  <sheetFormatPr defaultColWidth="12.625" defaultRowHeight="15" customHeight="1" x14ac:dyDescent="0.35"/>
  <cols>
    <col min="1" max="1" width="38.75" customWidth="1"/>
    <col min="2" max="2" width="8.625" customWidth="1"/>
    <col min="3" max="3" width="63.75" customWidth="1"/>
    <col min="4" max="4" width="16.375" customWidth="1"/>
    <col min="5" max="19" width="16" customWidth="1"/>
    <col min="20" max="20" width="14.375" customWidth="1"/>
    <col min="21" max="26" width="8.625" customWidth="1"/>
  </cols>
  <sheetData>
    <row r="1" spans="1:26" x14ac:dyDescent="0.4">
      <c r="A1" s="53" t="s">
        <v>77</v>
      </c>
      <c r="B1" s="54"/>
      <c r="C1" s="55"/>
      <c r="D1" s="55"/>
      <c r="E1" s="55"/>
      <c r="F1" s="56" t="s">
        <v>78</v>
      </c>
      <c r="G1" s="55"/>
      <c r="H1" s="55"/>
      <c r="I1" s="55"/>
      <c r="J1" s="55"/>
      <c r="K1" s="55"/>
      <c r="L1" s="55"/>
      <c r="M1" s="55"/>
      <c r="N1" s="55"/>
      <c r="O1" s="55"/>
      <c r="P1" s="55"/>
      <c r="Q1" s="55"/>
      <c r="R1" s="55"/>
      <c r="S1" s="55"/>
      <c r="T1" s="55"/>
      <c r="U1" s="55"/>
      <c r="V1" s="55"/>
      <c r="W1" s="55"/>
      <c r="X1" s="55"/>
      <c r="Y1" s="55"/>
      <c r="Z1" s="55"/>
    </row>
    <row r="2" spans="1:26" x14ac:dyDescent="0.4">
      <c r="A2" s="55" t="s">
        <v>79</v>
      </c>
      <c r="B2" s="57">
        <v>45231</v>
      </c>
      <c r="C2" s="55"/>
      <c r="D2" s="55"/>
      <c r="E2" s="58"/>
      <c r="F2" s="55"/>
      <c r="G2" s="55"/>
      <c r="H2" s="55"/>
      <c r="I2" s="55"/>
      <c r="J2" s="55"/>
      <c r="K2" s="55"/>
      <c r="L2" s="55"/>
      <c r="M2" s="55"/>
      <c r="N2" s="55"/>
      <c r="O2" s="55"/>
      <c r="P2" s="55"/>
      <c r="Q2" s="55"/>
      <c r="R2" s="55"/>
      <c r="S2" s="55"/>
      <c r="T2" s="55"/>
      <c r="U2" s="55"/>
      <c r="V2" s="55"/>
      <c r="W2" s="55"/>
      <c r="X2" s="55"/>
      <c r="Y2" s="55"/>
      <c r="Z2" s="55"/>
    </row>
    <row r="3" spans="1:26" x14ac:dyDescent="0.4">
      <c r="A3" s="55"/>
      <c r="B3" s="57"/>
      <c r="C3" s="55"/>
      <c r="D3" s="55"/>
      <c r="E3" s="58"/>
      <c r="F3" s="55"/>
      <c r="G3" s="55"/>
      <c r="H3" s="55"/>
      <c r="I3" s="55"/>
      <c r="J3" s="55"/>
      <c r="K3" s="55"/>
      <c r="L3" s="55"/>
      <c r="M3" s="55"/>
      <c r="N3" s="55"/>
      <c r="O3" s="55"/>
      <c r="P3" s="55"/>
      <c r="Q3" s="55"/>
      <c r="R3" s="55"/>
      <c r="S3" s="55"/>
      <c r="T3" s="55"/>
      <c r="U3" s="55"/>
      <c r="V3" s="55"/>
      <c r="W3" s="55"/>
      <c r="X3" s="55"/>
      <c r="Y3" s="55"/>
      <c r="Z3" s="55"/>
    </row>
    <row r="4" spans="1:26" x14ac:dyDescent="0.4">
      <c r="A4" s="55" t="s">
        <v>80</v>
      </c>
      <c r="B4" s="54"/>
      <c r="C4" s="55"/>
      <c r="D4" s="54" t="s">
        <v>81</v>
      </c>
      <c r="E4" s="54" t="s">
        <v>13</v>
      </c>
      <c r="F4" s="54" t="s">
        <v>14</v>
      </c>
      <c r="G4" s="54" t="s">
        <v>15</v>
      </c>
      <c r="H4" s="54" t="s">
        <v>16</v>
      </c>
      <c r="I4" s="54" t="s">
        <v>17</v>
      </c>
      <c r="J4" s="54" t="s">
        <v>18</v>
      </c>
      <c r="K4" s="54" t="s">
        <v>19</v>
      </c>
      <c r="L4" s="54" t="s">
        <v>20</v>
      </c>
      <c r="M4" s="54" t="s">
        <v>21</v>
      </c>
      <c r="N4" s="54" t="s">
        <v>22</v>
      </c>
      <c r="O4" s="54" t="s">
        <v>23</v>
      </c>
      <c r="P4" s="54" t="s">
        <v>24</v>
      </c>
      <c r="Q4" s="54" t="s">
        <v>25</v>
      </c>
      <c r="R4" s="54" t="s">
        <v>26</v>
      </c>
      <c r="S4" s="54"/>
      <c r="T4" s="54"/>
      <c r="U4" s="55"/>
      <c r="V4" s="55"/>
      <c r="W4" s="55"/>
      <c r="X4" s="55"/>
      <c r="Y4" s="55"/>
      <c r="Z4" s="55"/>
    </row>
    <row r="5" spans="1:26" x14ac:dyDescent="0.4">
      <c r="A5" s="59"/>
      <c r="B5" s="59"/>
      <c r="C5" s="59"/>
      <c r="D5" s="59"/>
      <c r="E5" s="59"/>
      <c r="F5" s="59"/>
      <c r="G5" s="59"/>
      <c r="H5" s="59"/>
      <c r="I5" s="59"/>
      <c r="J5" s="59"/>
      <c r="K5" s="59"/>
      <c r="L5" s="59"/>
      <c r="M5" s="59"/>
      <c r="N5" s="59"/>
      <c r="O5" s="59"/>
      <c r="P5" s="59"/>
      <c r="Q5" s="59"/>
      <c r="R5" s="60"/>
      <c r="S5" s="60"/>
      <c r="T5" s="60"/>
      <c r="U5" s="60"/>
      <c r="V5" s="60"/>
      <c r="W5" s="60"/>
      <c r="X5" s="60"/>
      <c r="Y5" s="60"/>
      <c r="Z5" s="60"/>
    </row>
    <row r="6" spans="1:26" x14ac:dyDescent="0.4">
      <c r="A6" s="61" t="s">
        <v>82</v>
      </c>
      <c r="B6" s="62"/>
      <c r="C6" s="60"/>
      <c r="D6" s="60"/>
      <c r="E6" s="60"/>
      <c r="F6" s="60"/>
      <c r="G6" s="60"/>
      <c r="H6" s="60"/>
      <c r="I6" s="60"/>
      <c r="J6" s="60"/>
      <c r="K6" s="60"/>
      <c r="L6" s="60"/>
      <c r="M6" s="60"/>
      <c r="N6" s="60"/>
      <c r="O6" s="60"/>
      <c r="P6" s="60"/>
      <c r="Q6" s="60"/>
      <c r="R6" s="60"/>
      <c r="S6" s="60"/>
      <c r="T6" s="60"/>
      <c r="U6" s="60"/>
      <c r="V6" s="60"/>
      <c r="W6" s="60"/>
      <c r="X6" s="60"/>
      <c r="Y6" s="60"/>
      <c r="Z6" s="60"/>
    </row>
    <row r="7" spans="1:26" x14ac:dyDescent="0.4">
      <c r="A7" s="63" t="s">
        <v>27</v>
      </c>
      <c r="B7" s="64" t="s">
        <v>83</v>
      </c>
      <c r="C7" s="63" t="s">
        <v>84</v>
      </c>
      <c r="D7" s="65">
        <v>1.9E-2</v>
      </c>
      <c r="E7" s="65">
        <v>2.0776874435411097E-2</v>
      </c>
      <c r="F7" s="65">
        <v>1.5929203539823078E-2</v>
      </c>
      <c r="G7" s="65">
        <v>-3.4843205574912606E-3</v>
      </c>
      <c r="H7" s="65">
        <v>3.8461538461538325E-2</v>
      </c>
      <c r="I7" s="65">
        <v>6.1447811447811418E-2</v>
      </c>
      <c r="J7" s="65">
        <v>6.0269627279936566E-2</v>
      </c>
      <c r="K7" s="63"/>
      <c r="L7" s="63"/>
      <c r="M7" s="63"/>
      <c r="N7" s="63"/>
      <c r="O7" s="63"/>
      <c r="P7" s="63"/>
      <c r="Q7" s="63"/>
      <c r="R7" s="63"/>
      <c r="S7" s="60"/>
      <c r="T7" s="60"/>
      <c r="U7" s="60"/>
      <c r="V7" s="60"/>
      <c r="W7" s="60"/>
      <c r="X7" s="60"/>
      <c r="Y7" s="60"/>
      <c r="Z7" s="60"/>
    </row>
    <row r="8" spans="1:26" x14ac:dyDescent="0.4">
      <c r="A8" s="63" t="s">
        <v>29</v>
      </c>
      <c r="B8" s="64" t="s">
        <v>83</v>
      </c>
      <c r="C8" s="63" t="s">
        <v>85</v>
      </c>
      <c r="D8" s="63"/>
      <c r="E8" s="63"/>
      <c r="F8" s="63"/>
      <c r="G8" s="63"/>
      <c r="H8" s="63"/>
      <c r="I8" s="63"/>
      <c r="J8" s="63"/>
      <c r="K8" s="65">
        <v>0.04</v>
      </c>
      <c r="L8" s="65">
        <v>3.2500000000000001E-2</v>
      </c>
      <c r="M8" s="65">
        <v>2.75E-2</v>
      </c>
      <c r="N8" s="65">
        <v>2.5000000000000001E-2</v>
      </c>
      <c r="O8" s="65">
        <f t="shared" ref="O8:R8" si="0">N8</f>
        <v>2.5000000000000001E-2</v>
      </c>
      <c r="P8" s="65">
        <f t="shared" si="0"/>
        <v>2.5000000000000001E-2</v>
      </c>
      <c r="Q8" s="65">
        <f t="shared" si="0"/>
        <v>2.5000000000000001E-2</v>
      </c>
      <c r="R8" s="65">
        <f t="shared" si="0"/>
        <v>2.5000000000000001E-2</v>
      </c>
      <c r="S8" s="60"/>
      <c r="T8" s="60"/>
      <c r="U8" s="60"/>
      <c r="V8" s="60"/>
      <c r="W8" s="60"/>
      <c r="X8" s="60"/>
      <c r="Y8" s="60"/>
      <c r="Z8" s="60"/>
    </row>
    <row r="9" spans="1:26" x14ac:dyDescent="0.4">
      <c r="A9" s="63" t="s">
        <v>86</v>
      </c>
      <c r="B9" s="64"/>
      <c r="C9" s="63"/>
      <c r="D9" s="66">
        <v>1</v>
      </c>
      <c r="E9" s="66">
        <f t="shared" ref="E9:J9" si="1">D9*(1+E7)</f>
        <v>1.0207768744354111</v>
      </c>
      <c r="F9" s="66">
        <f t="shared" si="1"/>
        <v>1.0370370370370372</v>
      </c>
      <c r="G9" s="66">
        <f t="shared" si="1"/>
        <v>1.0334236675700093</v>
      </c>
      <c r="H9" s="66">
        <f t="shared" si="1"/>
        <v>1.0731707317073171</v>
      </c>
      <c r="I9" s="66">
        <f t="shared" si="1"/>
        <v>1.1391147244805782</v>
      </c>
      <c r="J9" s="66">
        <f t="shared" si="1"/>
        <v>1.2077687443541103</v>
      </c>
      <c r="K9" s="66">
        <f t="shared" ref="K9:R9" si="2">J9*(1+K8)</f>
        <v>1.2560794941282747</v>
      </c>
      <c r="L9" s="66">
        <f t="shared" si="2"/>
        <v>1.2969020776874436</v>
      </c>
      <c r="M9" s="66">
        <f t="shared" si="2"/>
        <v>1.3325668848238483</v>
      </c>
      <c r="N9" s="66">
        <f t="shared" si="2"/>
        <v>1.3658810569444444</v>
      </c>
      <c r="O9" s="66">
        <f t="shared" si="2"/>
        <v>1.4000280833680554</v>
      </c>
      <c r="P9" s="66">
        <f t="shared" si="2"/>
        <v>1.4350287854522568</v>
      </c>
      <c r="Q9" s="66">
        <f t="shared" si="2"/>
        <v>1.470904505088563</v>
      </c>
      <c r="R9" s="66">
        <f t="shared" si="2"/>
        <v>1.5076771177157768</v>
      </c>
      <c r="S9" s="60"/>
      <c r="T9" s="60"/>
      <c r="U9" s="60"/>
      <c r="V9" s="60"/>
      <c r="W9" s="60"/>
      <c r="X9" s="60"/>
      <c r="Y9" s="60"/>
      <c r="Z9" s="60"/>
    </row>
    <row r="10" spans="1:26" x14ac:dyDescent="0.4">
      <c r="A10" s="63" t="s">
        <v>33</v>
      </c>
      <c r="B10" s="64" t="s">
        <v>83</v>
      </c>
      <c r="C10" s="63" t="s">
        <v>87</v>
      </c>
      <c r="D10" s="63"/>
      <c r="E10" s="67">
        <f>'Pricing Methodology &amp; Inputs'!D16</f>
        <v>3.5714285714285712E-2</v>
      </c>
      <c r="F10" s="67">
        <f t="shared" ref="F10:R10" si="3">E10</f>
        <v>3.5714285714285712E-2</v>
      </c>
      <c r="G10" s="67">
        <f t="shared" si="3"/>
        <v>3.5714285714285712E-2</v>
      </c>
      <c r="H10" s="67">
        <f t="shared" si="3"/>
        <v>3.5714285714285712E-2</v>
      </c>
      <c r="I10" s="67">
        <f t="shared" si="3"/>
        <v>3.5714285714285712E-2</v>
      </c>
      <c r="J10" s="67">
        <f t="shared" si="3"/>
        <v>3.5714285714285712E-2</v>
      </c>
      <c r="K10" s="67">
        <f t="shared" si="3"/>
        <v>3.5714285714285712E-2</v>
      </c>
      <c r="L10" s="67">
        <f t="shared" si="3"/>
        <v>3.5714285714285712E-2</v>
      </c>
      <c r="M10" s="67">
        <f t="shared" si="3"/>
        <v>3.5714285714285712E-2</v>
      </c>
      <c r="N10" s="67">
        <f t="shared" si="3"/>
        <v>3.5714285714285712E-2</v>
      </c>
      <c r="O10" s="67">
        <f t="shared" si="3"/>
        <v>3.5714285714285712E-2</v>
      </c>
      <c r="P10" s="67">
        <f t="shared" si="3"/>
        <v>3.5714285714285712E-2</v>
      </c>
      <c r="Q10" s="67">
        <f t="shared" si="3"/>
        <v>3.5714285714285712E-2</v>
      </c>
      <c r="R10" s="67">
        <f t="shared" si="3"/>
        <v>3.5714285714285712E-2</v>
      </c>
      <c r="S10" s="60"/>
      <c r="T10" s="60"/>
      <c r="U10" s="60"/>
      <c r="V10" s="60"/>
      <c r="W10" s="60"/>
      <c r="X10" s="60"/>
      <c r="Y10" s="60"/>
      <c r="Z10" s="60"/>
    </row>
    <row r="11" spans="1:26" x14ac:dyDescent="0.4">
      <c r="A11" s="63" t="s">
        <v>35</v>
      </c>
      <c r="B11" s="64" t="s">
        <v>83</v>
      </c>
      <c r="C11" s="63" t="s">
        <v>88</v>
      </c>
      <c r="D11" s="63"/>
      <c r="E11" s="65">
        <f>'Pricing Methodology &amp; Inputs'!D17</f>
        <v>7.4479999999999991E-2</v>
      </c>
      <c r="F11" s="65">
        <f t="shared" ref="F11:R11" si="4">E11</f>
        <v>7.4479999999999991E-2</v>
      </c>
      <c r="G11" s="65">
        <f t="shared" si="4"/>
        <v>7.4479999999999991E-2</v>
      </c>
      <c r="H11" s="65">
        <f t="shared" si="4"/>
        <v>7.4479999999999991E-2</v>
      </c>
      <c r="I11" s="65">
        <f t="shared" si="4"/>
        <v>7.4479999999999991E-2</v>
      </c>
      <c r="J11" s="65">
        <f t="shared" si="4"/>
        <v>7.4479999999999991E-2</v>
      </c>
      <c r="K11" s="65">
        <f t="shared" si="4"/>
        <v>7.4479999999999991E-2</v>
      </c>
      <c r="L11" s="65">
        <f t="shared" si="4"/>
        <v>7.4479999999999991E-2</v>
      </c>
      <c r="M11" s="65">
        <f t="shared" si="4"/>
        <v>7.4479999999999991E-2</v>
      </c>
      <c r="N11" s="65">
        <f t="shared" si="4"/>
        <v>7.4479999999999991E-2</v>
      </c>
      <c r="O11" s="65">
        <f t="shared" si="4"/>
        <v>7.4479999999999991E-2</v>
      </c>
      <c r="P11" s="65">
        <f t="shared" si="4"/>
        <v>7.4479999999999991E-2</v>
      </c>
      <c r="Q11" s="65">
        <f t="shared" si="4"/>
        <v>7.4479999999999991E-2</v>
      </c>
      <c r="R11" s="65">
        <f t="shared" si="4"/>
        <v>7.4479999999999991E-2</v>
      </c>
      <c r="S11" s="60"/>
      <c r="T11" s="60"/>
      <c r="U11" s="60"/>
      <c r="V11" s="60"/>
      <c r="W11" s="60"/>
      <c r="X11" s="60"/>
      <c r="Y11" s="60"/>
      <c r="Z11" s="60"/>
    </row>
    <row r="12" spans="1:26" x14ac:dyDescent="0.4">
      <c r="A12" s="63" t="s">
        <v>89</v>
      </c>
      <c r="B12" s="64" t="s">
        <v>90</v>
      </c>
      <c r="C12" s="63" t="s">
        <v>91</v>
      </c>
      <c r="D12" s="63"/>
      <c r="E12" s="68">
        <v>40000</v>
      </c>
      <c r="F12" s="68">
        <v>40000</v>
      </c>
      <c r="G12" s="68">
        <v>40000</v>
      </c>
      <c r="H12" s="68">
        <v>40000</v>
      </c>
      <c r="I12" s="68">
        <v>40000</v>
      </c>
      <c r="J12" s="68">
        <v>40000</v>
      </c>
      <c r="K12" s="68">
        <v>40000</v>
      </c>
      <c r="L12" s="68">
        <v>40000</v>
      </c>
      <c r="M12" s="68">
        <v>40000</v>
      </c>
      <c r="N12" s="68">
        <v>40000</v>
      </c>
      <c r="O12" s="68">
        <v>40000</v>
      </c>
      <c r="P12" s="68">
        <v>40000</v>
      </c>
      <c r="Q12" s="68">
        <v>40000</v>
      </c>
      <c r="R12" s="68">
        <v>40000</v>
      </c>
      <c r="S12" s="60"/>
      <c r="T12" s="60"/>
      <c r="U12" s="60"/>
      <c r="V12" s="60"/>
      <c r="W12" s="60"/>
      <c r="X12" s="60"/>
      <c r="Y12" s="60"/>
      <c r="Z12" s="60"/>
    </row>
    <row r="13" spans="1:26" x14ac:dyDescent="0.4">
      <c r="A13" s="60"/>
      <c r="B13" s="69"/>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4">
      <c r="A14" s="63" t="s">
        <v>92</v>
      </c>
      <c r="B14" s="64"/>
      <c r="C14" s="63" t="s">
        <v>93</v>
      </c>
      <c r="D14" s="63"/>
      <c r="E14" s="70">
        <v>2006</v>
      </c>
      <c r="F14" s="60"/>
      <c r="G14" s="60"/>
      <c r="H14" s="60"/>
      <c r="I14" s="60"/>
      <c r="J14" s="60"/>
      <c r="K14" s="60"/>
      <c r="L14" s="60"/>
      <c r="M14" s="60"/>
      <c r="N14" s="60"/>
      <c r="O14" s="60"/>
      <c r="P14" s="60"/>
      <c r="Q14" s="60"/>
      <c r="R14" s="60"/>
      <c r="S14" s="60"/>
      <c r="T14" s="60"/>
      <c r="U14" s="60"/>
      <c r="V14" s="60"/>
      <c r="W14" s="60"/>
      <c r="X14" s="60"/>
      <c r="Y14" s="60"/>
      <c r="Z14" s="60"/>
    </row>
    <row r="15" spans="1:26" x14ac:dyDescent="0.4">
      <c r="A15" s="63" t="s">
        <v>94</v>
      </c>
      <c r="B15" s="64"/>
      <c r="C15" s="63" t="s">
        <v>95</v>
      </c>
      <c r="D15" s="63"/>
      <c r="E15" s="63">
        <v>40</v>
      </c>
      <c r="F15" s="60"/>
      <c r="G15" s="60"/>
      <c r="H15" s="60"/>
      <c r="I15" s="60"/>
      <c r="J15" s="60"/>
      <c r="K15" s="60"/>
      <c r="L15" s="60"/>
      <c r="M15" s="60"/>
      <c r="N15" s="60"/>
      <c r="O15" s="60"/>
      <c r="P15" s="60"/>
      <c r="Q15" s="60"/>
      <c r="R15" s="60"/>
      <c r="S15" s="60"/>
      <c r="T15" s="60"/>
      <c r="U15" s="60"/>
      <c r="V15" s="60"/>
      <c r="W15" s="60"/>
      <c r="X15" s="60"/>
      <c r="Y15" s="60"/>
      <c r="Z15" s="60"/>
    </row>
    <row r="16" spans="1:26" x14ac:dyDescent="0.4">
      <c r="A16" s="63" t="s">
        <v>96</v>
      </c>
      <c r="B16" s="64"/>
      <c r="C16" s="63" t="s">
        <v>97</v>
      </c>
      <c r="D16" s="63"/>
      <c r="E16" s="70">
        <f>E14+E15</f>
        <v>2046</v>
      </c>
      <c r="F16" s="60"/>
      <c r="G16" s="60"/>
      <c r="H16" s="60"/>
      <c r="I16" s="60"/>
      <c r="J16" s="60"/>
      <c r="K16" s="60"/>
      <c r="L16" s="60"/>
      <c r="M16" s="60"/>
      <c r="N16" s="60"/>
      <c r="O16" s="60"/>
      <c r="P16" s="60"/>
      <c r="Q16" s="60"/>
      <c r="R16" s="60"/>
      <c r="S16" s="60"/>
      <c r="T16" s="60"/>
      <c r="U16" s="60"/>
      <c r="V16" s="60"/>
      <c r="W16" s="60"/>
      <c r="X16" s="60"/>
      <c r="Y16" s="60"/>
      <c r="Z16" s="60"/>
    </row>
    <row r="17" spans="1:26" x14ac:dyDescent="0.4">
      <c r="A17" s="68" t="s">
        <v>31</v>
      </c>
      <c r="B17" s="68"/>
      <c r="C17" s="68" t="s">
        <v>98</v>
      </c>
      <c r="D17" s="68"/>
      <c r="E17" s="68">
        <f>E16-2018</f>
        <v>28</v>
      </c>
      <c r="F17" s="68">
        <f t="shared" ref="F17:R17" si="5">E17-1</f>
        <v>27</v>
      </c>
      <c r="G17" s="68">
        <f t="shared" si="5"/>
        <v>26</v>
      </c>
      <c r="H17" s="68">
        <f t="shared" si="5"/>
        <v>25</v>
      </c>
      <c r="I17" s="68">
        <f t="shared" si="5"/>
        <v>24</v>
      </c>
      <c r="J17" s="68">
        <f t="shared" si="5"/>
        <v>23</v>
      </c>
      <c r="K17" s="68">
        <f t="shared" si="5"/>
        <v>22</v>
      </c>
      <c r="L17" s="68">
        <f t="shared" si="5"/>
        <v>21</v>
      </c>
      <c r="M17" s="68">
        <f t="shared" si="5"/>
        <v>20</v>
      </c>
      <c r="N17" s="68">
        <f t="shared" si="5"/>
        <v>19</v>
      </c>
      <c r="O17" s="68">
        <f t="shared" si="5"/>
        <v>18</v>
      </c>
      <c r="P17" s="68">
        <f t="shared" si="5"/>
        <v>17</v>
      </c>
      <c r="Q17" s="68">
        <f t="shared" si="5"/>
        <v>16</v>
      </c>
      <c r="R17" s="68">
        <f t="shared" si="5"/>
        <v>15</v>
      </c>
      <c r="S17" s="60"/>
      <c r="T17" s="60"/>
      <c r="U17" s="60"/>
      <c r="V17" s="60"/>
      <c r="W17" s="60"/>
      <c r="X17" s="60"/>
      <c r="Y17" s="60"/>
      <c r="Z17" s="60"/>
    </row>
    <row r="18" spans="1:26" x14ac:dyDescent="0.4">
      <c r="A18" s="60"/>
      <c r="B18" s="69"/>
      <c r="C18" s="60"/>
      <c r="D18" s="60"/>
      <c r="E18" s="71"/>
      <c r="F18" s="59"/>
      <c r="G18" s="59"/>
      <c r="H18" s="59"/>
      <c r="I18" s="59"/>
      <c r="J18" s="59"/>
      <c r="K18" s="59"/>
      <c r="L18" s="59"/>
      <c r="M18" s="59"/>
      <c r="N18" s="59"/>
      <c r="O18" s="59"/>
      <c r="P18" s="59"/>
      <c r="Q18" s="59"/>
      <c r="R18" s="60"/>
      <c r="S18" s="60"/>
      <c r="T18" s="60"/>
      <c r="U18" s="60"/>
      <c r="V18" s="60"/>
      <c r="W18" s="60"/>
      <c r="X18" s="60"/>
      <c r="Y18" s="60"/>
      <c r="Z18" s="60"/>
    </row>
    <row r="19" spans="1:26" x14ac:dyDescent="0.4">
      <c r="A19" s="60"/>
      <c r="B19" s="69"/>
      <c r="C19" s="60"/>
      <c r="D19" s="60"/>
      <c r="E19" s="59"/>
      <c r="F19" s="59"/>
      <c r="G19" s="59"/>
      <c r="H19" s="59"/>
      <c r="I19" s="59"/>
      <c r="J19" s="59"/>
      <c r="K19" s="59"/>
      <c r="L19" s="59"/>
      <c r="M19" s="59"/>
      <c r="N19" s="59"/>
      <c r="O19" s="59"/>
      <c r="P19" s="59"/>
      <c r="Q19" s="59"/>
      <c r="R19" s="60"/>
      <c r="S19" s="60"/>
      <c r="T19" s="60"/>
      <c r="U19" s="60"/>
      <c r="V19" s="60"/>
      <c r="W19" s="60"/>
      <c r="X19" s="60"/>
      <c r="Y19" s="60"/>
      <c r="Z19" s="60"/>
    </row>
    <row r="20" spans="1:26" x14ac:dyDescent="0.4">
      <c r="A20" s="55" t="s">
        <v>99</v>
      </c>
      <c r="B20" s="55"/>
      <c r="C20" s="55"/>
      <c r="D20" s="55"/>
      <c r="E20" s="55"/>
      <c r="F20" s="55"/>
      <c r="G20" s="55"/>
      <c r="H20" s="59"/>
      <c r="I20" s="59"/>
      <c r="J20" s="59"/>
      <c r="K20" s="59"/>
      <c r="L20" s="59"/>
      <c r="M20" s="59"/>
      <c r="N20" s="59"/>
      <c r="O20" s="59"/>
      <c r="P20" s="59"/>
      <c r="Q20" s="59"/>
      <c r="R20" s="60"/>
      <c r="S20" s="60"/>
      <c r="T20" s="60"/>
      <c r="U20" s="60"/>
      <c r="V20" s="60"/>
      <c r="W20" s="60"/>
      <c r="X20" s="60"/>
      <c r="Y20" s="60"/>
      <c r="Z20" s="60"/>
    </row>
    <row r="21" spans="1:26" ht="15.75" customHeight="1" x14ac:dyDescent="0.4">
      <c r="A21" s="60" t="s">
        <v>38</v>
      </c>
      <c r="B21" s="72" t="s">
        <v>100</v>
      </c>
      <c r="C21" s="60" t="s">
        <v>101</v>
      </c>
      <c r="D21" s="73">
        <f>'Pricing Methodology &amp; Inputs'!D19</f>
        <v>92032691.950578272</v>
      </c>
      <c r="E21" s="59"/>
      <c r="F21" s="59"/>
      <c r="G21" s="59"/>
      <c r="H21" s="59"/>
      <c r="I21" s="59"/>
      <c r="J21" s="59"/>
      <c r="K21" s="59"/>
      <c r="L21" s="59"/>
      <c r="M21" s="59"/>
      <c r="N21" s="59"/>
      <c r="O21" s="59"/>
      <c r="P21" s="59"/>
      <c r="Q21" s="59"/>
      <c r="R21" s="60"/>
      <c r="S21" s="60"/>
      <c r="T21" s="60"/>
      <c r="U21" s="60"/>
      <c r="V21" s="60"/>
      <c r="W21" s="60"/>
      <c r="X21" s="60"/>
      <c r="Y21" s="60"/>
      <c r="Z21" s="60"/>
    </row>
    <row r="22" spans="1:26" ht="15.75" customHeight="1" x14ac:dyDescent="0.4">
      <c r="A22" s="60" t="s">
        <v>102</v>
      </c>
      <c r="B22" s="72" t="s">
        <v>103</v>
      </c>
      <c r="C22" s="60"/>
      <c r="D22" s="60"/>
      <c r="E22" s="59">
        <f t="shared" ref="E22:R22" si="6">D31</f>
        <v>92032691.950578272</v>
      </c>
      <c r="F22" s="59">
        <f t="shared" si="6"/>
        <v>90735198.091667101</v>
      </c>
      <c r="G22" s="59">
        <f t="shared" si="6"/>
        <v>89570962.622231364</v>
      </c>
      <c r="H22" s="59">
        <f t="shared" si="6"/>
        <v>88012744.892503932</v>
      </c>
      <c r="I22" s="59">
        <f t="shared" si="6"/>
        <v>84316673.964459091</v>
      </c>
      <c r="J22" s="59">
        <f t="shared" si="6"/>
        <v>83961945.051436439</v>
      </c>
      <c r="K22" s="59">
        <f t="shared" si="6"/>
        <v>85306714.201284185</v>
      </c>
      <c r="L22" s="59">
        <f t="shared" si="6"/>
        <v>86576029.10746865</v>
      </c>
      <c r="M22" s="59">
        <f t="shared" si="6"/>
        <v>87975269.042260289</v>
      </c>
      <c r="N22" s="59">
        <f t="shared" si="6"/>
        <v>89506131.930627719</v>
      </c>
      <c r="O22" s="59">
        <f t="shared" si="6"/>
        <v>88756314.093857542</v>
      </c>
      <c r="P22" s="59">
        <f t="shared" si="6"/>
        <v>86620374.742446542</v>
      </c>
      <c r="Q22" s="59">
        <f t="shared" si="6"/>
        <v>85179301.243911788</v>
      </c>
      <c r="R22" s="59">
        <f t="shared" si="6"/>
        <v>82663210.73975192</v>
      </c>
      <c r="S22" s="60"/>
      <c r="T22" s="60"/>
      <c r="U22" s="60"/>
      <c r="V22" s="60"/>
      <c r="W22" s="60"/>
      <c r="X22" s="60"/>
      <c r="Y22" s="60"/>
      <c r="Z22" s="60"/>
    </row>
    <row r="23" spans="1:26" ht="15.75" customHeight="1" x14ac:dyDescent="0.4">
      <c r="A23" s="60" t="s">
        <v>104</v>
      </c>
      <c r="B23" s="72" t="s">
        <v>103</v>
      </c>
      <c r="C23" s="60"/>
      <c r="D23" s="60"/>
      <c r="E23" s="59">
        <f t="shared" ref="E23:K23" si="7">E22*D7</f>
        <v>1748621.1470609871</v>
      </c>
      <c r="F23" s="59">
        <f t="shared" si="7"/>
        <v>1885193.81762272</v>
      </c>
      <c r="G23" s="59">
        <f t="shared" si="7"/>
        <v>1426794.0948674085</v>
      </c>
      <c r="H23" s="59">
        <f t="shared" si="7"/>
        <v>-306664.61635018542</v>
      </c>
      <c r="I23" s="59">
        <f t="shared" si="7"/>
        <v>3242948.9986330303</v>
      </c>
      <c r="J23" s="59">
        <f t="shared" si="7"/>
        <v>5159277.7683121692</v>
      </c>
      <c r="K23" s="59">
        <f t="shared" si="7"/>
        <v>5141403.8693874693</v>
      </c>
      <c r="L23" s="59">
        <f t="shared" ref="L23:R23" si="8">L22*K8</f>
        <v>3463041.1642987463</v>
      </c>
      <c r="M23" s="59">
        <f t="shared" si="8"/>
        <v>2859196.2438734593</v>
      </c>
      <c r="N23" s="59">
        <f t="shared" si="8"/>
        <v>2461418.6280922624</v>
      </c>
      <c r="O23" s="59">
        <f t="shared" si="8"/>
        <v>2218907.8523464384</v>
      </c>
      <c r="P23" s="59">
        <f t="shared" si="8"/>
        <v>2165509.3685611635</v>
      </c>
      <c r="Q23" s="59">
        <f t="shared" si="8"/>
        <v>2129482.5310977949</v>
      </c>
      <c r="R23" s="59">
        <f t="shared" si="8"/>
        <v>2066580.2684937981</v>
      </c>
      <c r="S23" s="60"/>
      <c r="T23" s="60"/>
      <c r="U23" s="60"/>
      <c r="V23" s="60"/>
      <c r="W23" s="60"/>
      <c r="X23" s="60"/>
      <c r="Y23" s="60"/>
      <c r="Z23" s="60"/>
    </row>
    <row r="24" spans="1:26" ht="15.75" customHeight="1" x14ac:dyDescent="0.45">
      <c r="A24" s="74" t="s">
        <v>40</v>
      </c>
      <c r="B24" s="75" t="s">
        <v>103</v>
      </c>
      <c r="C24" s="74"/>
      <c r="D24" s="74"/>
      <c r="E24" s="76">
        <f t="shared" ref="E24:J24" si="9">E9*E26+E25</f>
        <v>309057.98099883855</v>
      </c>
      <c r="F24" s="76">
        <f t="shared" si="9"/>
        <v>246261.13333333336</v>
      </c>
      <c r="G24" s="76">
        <f t="shared" si="9"/>
        <v>272299.21725900116</v>
      </c>
      <c r="H24" s="76">
        <f t="shared" si="9"/>
        <v>137979.09407665505</v>
      </c>
      <c r="I24" s="76">
        <f t="shared" si="9"/>
        <v>146457.60743321717</v>
      </c>
      <c r="J24" s="76">
        <f t="shared" si="9"/>
        <v>155284.55284552847</v>
      </c>
      <c r="K24" s="77">
        <f t="shared" ref="K24:R24" si="10">K27*K9/$K$9+K9*K26</f>
        <v>256495.9349593496</v>
      </c>
      <c r="L24" s="77">
        <f t="shared" si="10"/>
        <v>2198962.6778455283</v>
      </c>
      <c r="M24" s="77">
        <f t="shared" si="10"/>
        <v>3051656.5592987803</v>
      </c>
      <c r="N24" s="77">
        <f t="shared" si="10"/>
        <v>1278253.1978124999</v>
      </c>
      <c r="O24" s="77">
        <f t="shared" si="10"/>
        <v>246879.70048437495</v>
      </c>
      <c r="P24" s="77">
        <f t="shared" si="10"/>
        <v>1110187.2097519285</v>
      </c>
      <c r="Q24" s="77">
        <f t="shared" si="10"/>
        <v>189116.29351138667</v>
      </c>
      <c r="R24" s="77">
        <f t="shared" si="10"/>
        <v>3000759.7543858327</v>
      </c>
      <c r="S24" s="60"/>
      <c r="T24" s="78">
        <f>SUM(E24:R24)</f>
        <v>12599650.913996255</v>
      </c>
      <c r="U24" s="60"/>
      <c r="V24" s="60"/>
      <c r="W24" s="60"/>
      <c r="X24" s="60"/>
      <c r="Y24" s="60"/>
      <c r="Z24" s="60"/>
    </row>
    <row r="25" spans="1:26" ht="15.75" customHeight="1" x14ac:dyDescent="0.45">
      <c r="A25" s="79" t="s">
        <v>40</v>
      </c>
      <c r="B25" s="80" t="s">
        <v>103</v>
      </c>
      <c r="C25" s="79" t="s">
        <v>105</v>
      </c>
      <c r="D25" s="79"/>
      <c r="E25" s="81">
        <f>'Pricing Methodology &amp; Inputs'!E20</f>
        <v>177815.24</v>
      </c>
      <c r="F25" s="81">
        <f>'Pricing Methodology &amp; Inputs'!F20</f>
        <v>112927.8</v>
      </c>
      <c r="G25" s="81">
        <f>'Pricing Methodology &amp; Inputs'!G20</f>
        <v>139430.46</v>
      </c>
      <c r="H25" s="81">
        <f>'Pricing Methodology &amp; Inputs'!H20</f>
        <v>0</v>
      </c>
      <c r="I25" s="81">
        <f>'Pricing Methodology &amp; Inputs'!I20</f>
        <v>0</v>
      </c>
      <c r="J25" s="81">
        <f>'Pricing Methodology &amp; Inputs'!J20</f>
        <v>0</v>
      </c>
      <c r="K25" s="82"/>
      <c r="L25" s="82"/>
      <c r="M25" s="82"/>
      <c r="N25" s="82"/>
      <c r="O25" s="82"/>
      <c r="P25" s="82"/>
      <c r="Q25" s="82"/>
      <c r="R25" s="82"/>
      <c r="S25" s="60"/>
      <c r="T25" s="78"/>
      <c r="U25" s="60"/>
      <c r="V25" s="60"/>
      <c r="W25" s="60"/>
      <c r="X25" s="60"/>
      <c r="Y25" s="60"/>
      <c r="Z25" s="60"/>
    </row>
    <row r="26" spans="1:26" ht="15.75" customHeight="1" x14ac:dyDescent="0.45">
      <c r="A26" s="79" t="s">
        <v>40</v>
      </c>
      <c r="B26" s="80" t="s">
        <v>100</v>
      </c>
      <c r="C26" s="79" t="s">
        <v>106</v>
      </c>
      <c r="D26" s="79"/>
      <c r="E26" s="82">
        <f>'Pricing Methodology &amp; Inputs'!E21</f>
        <v>128571.42857142857</v>
      </c>
      <c r="F26" s="82">
        <f>'Pricing Methodology &amp; Inputs'!F21</f>
        <v>128571.42857142857</v>
      </c>
      <c r="G26" s="82">
        <f>'Pricing Methodology &amp; Inputs'!G21</f>
        <v>128571.42857142857</v>
      </c>
      <c r="H26" s="82">
        <f>'Pricing Methodology &amp; Inputs'!H21</f>
        <v>128571.42857142857</v>
      </c>
      <c r="I26" s="82">
        <f>'Pricing Methodology &amp; Inputs'!I21</f>
        <v>128571.42857142857</v>
      </c>
      <c r="J26" s="82">
        <f>'Pricing Methodology &amp; Inputs'!J21</f>
        <v>128571.42857142857</v>
      </c>
      <c r="K26" s="82">
        <f>'Pricing Methodology &amp; Inputs'!K21</f>
        <v>128571.42857142857</v>
      </c>
      <c r="L26" s="82">
        <f>'Pricing Methodology &amp; Inputs'!L21</f>
        <v>128571.42857142857</v>
      </c>
      <c r="M26" s="82">
        <f>'Pricing Methodology &amp; Inputs'!M21</f>
        <v>128571.42857142857</v>
      </c>
      <c r="N26" s="82">
        <f>'Pricing Methodology &amp; Inputs'!N21</f>
        <v>128571.42857142857</v>
      </c>
      <c r="O26" s="82">
        <f>'Pricing Methodology &amp; Inputs'!O21</f>
        <v>128571.42857142857</v>
      </c>
      <c r="P26" s="82">
        <f>'Pricing Methodology &amp; Inputs'!P21</f>
        <v>128571.42857142857</v>
      </c>
      <c r="Q26" s="82">
        <f>'Pricing Methodology &amp; Inputs'!Q21</f>
        <v>128571.42857142857</v>
      </c>
      <c r="R26" s="82">
        <f>'Pricing Methodology &amp; Inputs'!R21</f>
        <v>0</v>
      </c>
      <c r="S26" s="60"/>
      <c r="T26" s="78"/>
      <c r="U26" s="60"/>
      <c r="V26" s="60"/>
      <c r="W26" s="60"/>
      <c r="X26" s="60"/>
      <c r="Y26" s="60"/>
      <c r="Z26" s="60"/>
    </row>
    <row r="27" spans="1:26" ht="15.75" customHeight="1" x14ac:dyDescent="0.45">
      <c r="A27" s="79" t="s">
        <v>40</v>
      </c>
      <c r="B27" s="80" t="s">
        <v>107</v>
      </c>
      <c r="C27" s="79" t="s">
        <v>108</v>
      </c>
      <c r="D27" s="79"/>
      <c r="E27" s="82"/>
      <c r="F27" s="79"/>
      <c r="G27" s="79"/>
      <c r="H27" s="79"/>
      <c r="I27" s="79"/>
      <c r="J27" s="79"/>
      <c r="K27" s="82">
        <f>'Pricing Methodology &amp; Inputs'!K20</f>
        <v>95000</v>
      </c>
      <c r="L27" s="82">
        <f>'Pricing Methodology &amp; Inputs'!L20</f>
        <v>1968250</v>
      </c>
      <c r="M27" s="82">
        <f>'Pricing Methodology &amp; Inputs'!M20</f>
        <v>2715000</v>
      </c>
      <c r="N27" s="82">
        <f>'Pricing Methodology &amp; Inputs'!N20</f>
        <v>1014000</v>
      </c>
      <c r="O27" s="82">
        <f>'Pricing Methodology &amp; Inputs'!O20</f>
        <v>60000</v>
      </c>
      <c r="P27" s="82">
        <f>'Pricing Methodology &amp; Inputs'!P20</f>
        <v>810250</v>
      </c>
      <c r="Q27" s="82">
        <f>'Pricing Methodology &amp; Inputs'!Q20</f>
        <v>0</v>
      </c>
      <c r="R27" s="82">
        <f>'Pricing Methodology &amp; Inputs'!R20</f>
        <v>2500000</v>
      </c>
      <c r="S27" s="60"/>
      <c r="T27" s="78">
        <f>SUM(E27:R27)</f>
        <v>9162500</v>
      </c>
      <c r="U27" s="60"/>
      <c r="V27" s="60"/>
      <c r="W27" s="60"/>
      <c r="X27" s="60"/>
      <c r="Y27" s="60"/>
      <c r="Z27" s="60"/>
    </row>
    <row r="28" spans="1:26" ht="15.75" customHeight="1" x14ac:dyDescent="0.45">
      <c r="A28" s="79" t="s">
        <v>40</v>
      </c>
      <c r="B28" s="80" t="s">
        <v>107</v>
      </c>
      <c r="C28" s="79" t="s">
        <v>109</v>
      </c>
      <c r="D28" s="79"/>
      <c r="E28" s="79"/>
      <c r="F28" s="79"/>
      <c r="G28" s="79"/>
      <c r="H28" s="79"/>
      <c r="I28" s="79"/>
      <c r="J28" s="79"/>
      <c r="K28" s="82"/>
      <c r="L28" s="82"/>
      <c r="M28" s="82"/>
      <c r="N28" s="82"/>
      <c r="O28" s="82"/>
      <c r="P28" s="82"/>
      <c r="Q28" s="82">
        <f>'Pricing Methodology &amp; Inputs'!Q22*Q9/K9</f>
        <v>-117102.81968334957</v>
      </c>
      <c r="R28" s="82"/>
      <c r="S28" s="60"/>
      <c r="T28" s="78"/>
      <c r="U28" s="60"/>
      <c r="V28" s="60"/>
      <c r="W28" s="60"/>
      <c r="X28" s="60"/>
      <c r="Y28" s="60"/>
      <c r="Z28" s="60"/>
    </row>
    <row r="29" spans="1:26" ht="15.75" customHeight="1" x14ac:dyDescent="0.45">
      <c r="A29" s="74" t="s">
        <v>110</v>
      </c>
      <c r="B29" s="75" t="s">
        <v>100</v>
      </c>
      <c r="C29" s="74"/>
      <c r="D29" s="74"/>
      <c r="E29" s="77">
        <f>-E22*E10</f>
        <v>-3286881.8553777952</v>
      </c>
      <c r="F29" s="77">
        <f t="shared" ref="F29:R29" si="11">E29</f>
        <v>-3286881.8553777952</v>
      </c>
      <c r="G29" s="77">
        <f t="shared" si="11"/>
        <v>-3286881.8553777952</v>
      </c>
      <c r="H29" s="77">
        <f t="shared" si="11"/>
        <v>-3286881.8553777952</v>
      </c>
      <c r="I29" s="77">
        <f t="shared" si="11"/>
        <v>-3286881.8553777952</v>
      </c>
      <c r="J29" s="77">
        <f t="shared" si="11"/>
        <v>-3286881.8553777952</v>
      </c>
      <c r="K29" s="77">
        <f t="shared" si="11"/>
        <v>-3286881.8553777952</v>
      </c>
      <c r="L29" s="77">
        <f t="shared" si="11"/>
        <v>-3286881.8553777952</v>
      </c>
      <c r="M29" s="77">
        <f t="shared" si="11"/>
        <v>-3286881.8553777952</v>
      </c>
      <c r="N29" s="77">
        <f t="shared" si="11"/>
        <v>-3286881.8553777952</v>
      </c>
      <c r="O29" s="77">
        <f t="shared" si="11"/>
        <v>-3286881.8553777952</v>
      </c>
      <c r="P29" s="77">
        <f t="shared" si="11"/>
        <v>-3286881.8553777952</v>
      </c>
      <c r="Q29" s="77">
        <f t="shared" si="11"/>
        <v>-3286881.8553777952</v>
      </c>
      <c r="R29" s="77">
        <f t="shared" si="11"/>
        <v>-3286881.8553777952</v>
      </c>
      <c r="S29" s="60"/>
      <c r="T29" s="78">
        <f t="shared" ref="T29:T30" si="12">SUM(E29:R29)</f>
        <v>-46016345.975289121</v>
      </c>
      <c r="U29" s="60"/>
      <c r="V29" s="60"/>
      <c r="W29" s="60"/>
      <c r="X29" s="60"/>
      <c r="Y29" s="60"/>
      <c r="Z29" s="60"/>
    </row>
    <row r="30" spans="1:26" ht="15.75" customHeight="1" x14ac:dyDescent="0.45">
      <c r="A30" s="83" t="s">
        <v>110</v>
      </c>
      <c r="B30" s="84" t="s">
        <v>103</v>
      </c>
      <c r="C30" s="83"/>
      <c r="D30" s="83"/>
      <c r="E30" s="85">
        <f t="shared" ref="E30:R30" si="13">$E$29*E9</f>
        <v>-3355172.9869710105</v>
      </c>
      <c r="F30" s="85">
        <f t="shared" si="13"/>
        <v>-3408618.2203917881</v>
      </c>
      <c r="G30" s="85">
        <f t="shared" si="13"/>
        <v>-3396741.5018538376</v>
      </c>
      <c r="H30" s="85">
        <f t="shared" si="13"/>
        <v>-3527385.4057712927</v>
      </c>
      <c r="I30" s="85">
        <f t="shared" si="13"/>
        <v>-3744135.5190888885</v>
      </c>
      <c r="J30" s="85">
        <f t="shared" si="13"/>
        <v>-3969793.171309948</v>
      </c>
      <c r="K30" s="85">
        <f t="shared" si="13"/>
        <v>-4128584.8981623459</v>
      </c>
      <c r="L30" s="85">
        <f t="shared" si="13"/>
        <v>-4262763.9073526217</v>
      </c>
      <c r="M30" s="85">
        <f t="shared" si="13"/>
        <v>-4379989.914804819</v>
      </c>
      <c r="N30" s="85">
        <f t="shared" si="13"/>
        <v>-4489489.6626749393</v>
      </c>
      <c r="O30" s="85">
        <f t="shared" si="13"/>
        <v>-4601726.9042418124</v>
      </c>
      <c r="P30" s="85">
        <f t="shared" si="13"/>
        <v>-4716770.0768478578</v>
      </c>
      <c r="Q30" s="85">
        <f t="shared" si="13"/>
        <v>-4834689.3287690533</v>
      </c>
      <c r="R30" s="85">
        <f t="shared" si="13"/>
        <v>-4955556.5619882792</v>
      </c>
      <c r="S30" s="60"/>
      <c r="T30" s="78">
        <f t="shared" si="12"/>
        <v>-57771418.060228497</v>
      </c>
      <c r="U30" s="60"/>
      <c r="V30" s="60"/>
      <c r="W30" s="60"/>
      <c r="X30" s="60"/>
      <c r="Y30" s="60"/>
      <c r="Z30" s="60"/>
    </row>
    <row r="31" spans="1:26" ht="15.75" customHeight="1" x14ac:dyDescent="0.4">
      <c r="A31" s="60" t="s">
        <v>111</v>
      </c>
      <c r="B31" s="72" t="s">
        <v>103</v>
      </c>
      <c r="C31" s="86"/>
      <c r="D31" s="59">
        <f>SUM(D21)</f>
        <v>92032691.950578272</v>
      </c>
      <c r="E31" s="59">
        <f>SUM(E22:E24,E30)</f>
        <v>90735198.091667101</v>
      </c>
      <c r="F31" s="59">
        <f t="shared" ref="F31:J31" si="14">SUM(F22:F25,F30)</f>
        <v>89570962.622231364</v>
      </c>
      <c r="G31" s="59">
        <f t="shared" si="14"/>
        <v>88012744.892503932</v>
      </c>
      <c r="H31" s="59">
        <f t="shared" si="14"/>
        <v>84316673.964459091</v>
      </c>
      <c r="I31" s="59">
        <f t="shared" si="14"/>
        <v>83961945.051436439</v>
      </c>
      <c r="J31" s="59">
        <f t="shared" si="14"/>
        <v>85306714.201284185</v>
      </c>
      <c r="K31" s="59">
        <f t="shared" ref="K31:R31" si="15">SUM(K22:K24,K30)</f>
        <v>86576029.10746865</v>
      </c>
      <c r="L31" s="59">
        <f t="shared" si="15"/>
        <v>87975269.042260289</v>
      </c>
      <c r="M31" s="59">
        <f t="shared" si="15"/>
        <v>89506131.930627719</v>
      </c>
      <c r="N31" s="59">
        <f t="shared" si="15"/>
        <v>88756314.093857542</v>
      </c>
      <c r="O31" s="59">
        <f t="shared" si="15"/>
        <v>86620374.742446542</v>
      </c>
      <c r="P31" s="59">
        <f t="shared" si="15"/>
        <v>85179301.243911788</v>
      </c>
      <c r="Q31" s="59">
        <f t="shared" si="15"/>
        <v>82663210.73975192</v>
      </c>
      <c r="R31" s="59">
        <f t="shared" si="15"/>
        <v>82774994.200643271</v>
      </c>
      <c r="S31" s="60"/>
      <c r="T31" s="60"/>
      <c r="U31" s="60"/>
      <c r="V31" s="60"/>
      <c r="W31" s="60"/>
      <c r="X31" s="60"/>
      <c r="Y31" s="60"/>
      <c r="Z31" s="60"/>
    </row>
    <row r="32" spans="1:26" ht="15.75" customHeight="1" x14ac:dyDescent="0.4">
      <c r="A32" s="60"/>
      <c r="B32" s="72"/>
      <c r="C32" s="60"/>
      <c r="D32" s="60"/>
      <c r="E32" s="60"/>
      <c r="F32" s="60"/>
      <c r="G32" s="60"/>
      <c r="H32" s="60"/>
      <c r="I32" s="60"/>
      <c r="J32" s="60"/>
      <c r="K32" s="59"/>
      <c r="L32" s="59"/>
      <c r="M32" s="59"/>
      <c r="N32" s="59"/>
      <c r="O32" s="59"/>
      <c r="P32" s="59"/>
      <c r="Q32" s="59"/>
      <c r="R32" s="59"/>
      <c r="S32" s="60"/>
      <c r="T32" s="60"/>
      <c r="U32" s="60"/>
      <c r="V32" s="60"/>
      <c r="W32" s="60"/>
      <c r="X32" s="60"/>
      <c r="Y32" s="60"/>
      <c r="Z32" s="60"/>
    </row>
    <row r="33" spans="1:26" ht="15.75" customHeight="1" x14ac:dyDescent="0.4">
      <c r="A33" s="55" t="s">
        <v>112</v>
      </c>
      <c r="B33" s="87"/>
      <c r="C33" s="55"/>
      <c r="D33" s="55"/>
      <c r="E33" s="55"/>
      <c r="F33" s="55"/>
      <c r="G33" s="55"/>
      <c r="H33" s="88"/>
      <c r="I33" s="88"/>
      <c r="J33" s="88"/>
      <c r="K33" s="59"/>
      <c r="L33" s="59"/>
      <c r="M33" s="59"/>
      <c r="N33" s="59"/>
      <c r="O33" s="59"/>
      <c r="P33" s="59"/>
      <c r="Q33" s="59"/>
      <c r="R33" s="60"/>
      <c r="S33" s="60"/>
      <c r="T33" s="60"/>
      <c r="U33" s="60"/>
      <c r="V33" s="60"/>
      <c r="W33" s="60"/>
      <c r="X33" s="60"/>
      <c r="Y33" s="60"/>
      <c r="Z33" s="60"/>
    </row>
    <row r="34" spans="1:26" ht="15.75" customHeight="1" x14ac:dyDescent="0.4">
      <c r="A34" s="60" t="s">
        <v>113</v>
      </c>
      <c r="B34" s="72" t="s">
        <v>103</v>
      </c>
      <c r="C34" s="60"/>
      <c r="D34" s="60"/>
      <c r="E34" s="59"/>
      <c r="F34" s="59"/>
      <c r="G34" s="59"/>
      <c r="H34" s="59"/>
      <c r="I34" s="59"/>
      <c r="J34" s="59"/>
      <c r="K34" s="59">
        <f t="shared" ref="K34:R34" si="16">(K22)*K11</f>
        <v>6353644.0737116449</v>
      </c>
      <c r="L34" s="59">
        <f t="shared" si="16"/>
        <v>6448182.647924264</v>
      </c>
      <c r="M34" s="59">
        <f t="shared" si="16"/>
        <v>6552398.0382675454</v>
      </c>
      <c r="N34" s="59">
        <f t="shared" si="16"/>
        <v>6666416.7061931519</v>
      </c>
      <c r="O34" s="59">
        <f t="shared" si="16"/>
        <v>6610570.2737105088</v>
      </c>
      <c r="P34" s="59">
        <f t="shared" si="16"/>
        <v>6451485.5108174179</v>
      </c>
      <c r="Q34" s="59">
        <f t="shared" si="16"/>
        <v>6344154.356646549</v>
      </c>
      <c r="R34" s="59">
        <f t="shared" si="16"/>
        <v>6156755.9358967226</v>
      </c>
      <c r="S34" s="60"/>
      <c r="T34" s="60"/>
      <c r="U34" s="60"/>
      <c r="V34" s="60"/>
      <c r="W34" s="60"/>
      <c r="X34" s="60"/>
      <c r="Y34" s="60"/>
      <c r="Z34" s="60"/>
    </row>
    <row r="35" spans="1:26" ht="15.75" customHeight="1" x14ac:dyDescent="0.4">
      <c r="A35" s="60" t="s">
        <v>114</v>
      </c>
      <c r="B35" s="72" t="s">
        <v>103</v>
      </c>
      <c r="C35" s="60"/>
      <c r="D35" s="60"/>
      <c r="E35" s="89">
        <v>463500</v>
      </c>
      <c r="F35" s="59"/>
      <c r="G35" s="59"/>
      <c r="H35" s="59"/>
      <c r="I35" s="59"/>
      <c r="J35" s="59"/>
      <c r="K35" s="59">
        <f t="shared" ref="K35:R35" si="17">$E$35*J9</f>
        <v>559800.81300813018</v>
      </c>
      <c r="L35" s="59">
        <f t="shared" si="17"/>
        <v>582192.84552845533</v>
      </c>
      <c r="M35" s="59">
        <f t="shared" si="17"/>
        <v>601114.11300813011</v>
      </c>
      <c r="N35" s="59">
        <f t="shared" si="17"/>
        <v>617644.75111585367</v>
      </c>
      <c r="O35" s="59">
        <f t="shared" si="17"/>
        <v>633085.86989374994</v>
      </c>
      <c r="P35" s="59">
        <f t="shared" si="17"/>
        <v>648913.01664109365</v>
      </c>
      <c r="Q35" s="59">
        <f t="shared" si="17"/>
        <v>665135.84205712099</v>
      </c>
      <c r="R35" s="59">
        <f t="shared" si="17"/>
        <v>681764.23810854892</v>
      </c>
      <c r="S35" s="60"/>
      <c r="T35" s="60"/>
      <c r="U35" s="60"/>
      <c r="V35" s="60"/>
      <c r="W35" s="60"/>
      <c r="X35" s="60"/>
      <c r="Y35" s="60"/>
      <c r="Z35" s="60"/>
    </row>
    <row r="36" spans="1:26" ht="15.75" customHeight="1" x14ac:dyDescent="0.4">
      <c r="A36" s="60" t="s">
        <v>115</v>
      </c>
      <c r="B36" s="72" t="s">
        <v>103</v>
      </c>
      <c r="C36" s="60"/>
      <c r="D36" s="60"/>
      <c r="E36" s="59"/>
      <c r="F36" s="59"/>
      <c r="G36" s="59"/>
      <c r="H36" s="59"/>
      <c r="I36" s="59"/>
      <c r="J36" s="59"/>
      <c r="K36" s="59">
        <f>'Pricing Methodology &amp; Inputs'!K25</f>
        <v>695000</v>
      </c>
      <c r="L36" s="59">
        <f>'Pricing Methodology &amp; Inputs'!L25</f>
        <v>499550</v>
      </c>
      <c r="M36" s="59">
        <f>'Pricing Methodology &amp; Inputs'!M25</f>
        <v>514536.5</v>
      </c>
      <c r="N36" s="59">
        <f>'Pricing Methodology &amp; Inputs'!N25</f>
        <v>437090.8</v>
      </c>
      <c r="O36" s="59">
        <f>'Pricing Methodology &amp; Inputs'!O25</f>
        <v>512106.50900000002</v>
      </c>
      <c r="P36" s="59">
        <f>'Pricing Methodology &amp; Inputs'!P25</f>
        <v>586663.25899999996</v>
      </c>
      <c r="Q36" s="59">
        <f>'Pricing Methodology &amp; Inputs'!Q25</f>
        <v>477620.91899999999</v>
      </c>
      <c r="R36" s="59">
        <f>'Pricing Methodology &amp; Inputs'!R25</f>
        <v>0</v>
      </c>
      <c r="S36" s="60"/>
      <c r="T36" s="60"/>
      <c r="U36" s="60"/>
      <c r="V36" s="60"/>
      <c r="W36" s="60"/>
      <c r="X36" s="60"/>
      <c r="Y36" s="60"/>
      <c r="Z36" s="60"/>
    </row>
    <row r="37" spans="1:26" ht="15.75" customHeight="1" x14ac:dyDescent="0.4">
      <c r="A37" s="60" t="s">
        <v>116</v>
      </c>
      <c r="B37" s="72" t="s">
        <v>103</v>
      </c>
      <c r="C37" s="60"/>
      <c r="D37" s="60"/>
      <c r="E37" s="59"/>
      <c r="F37" s="59"/>
      <c r="G37" s="59"/>
      <c r="H37" s="59"/>
      <c r="I37" s="59"/>
      <c r="J37" s="59"/>
      <c r="K37" s="59">
        <f t="shared" ref="K37:R37" si="18">-K30</f>
        <v>4128584.8981623459</v>
      </c>
      <c r="L37" s="59">
        <f t="shared" si="18"/>
        <v>4262763.9073526217</v>
      </c>
      <c r="M37" s="59">
        <f t="shared" si="18"/>
        <v>4379989.914804819</v>
      </c>
      <c r="N37" s="59">
        <f t="shared" si="18"/>
        <v>4489489.6626749393</v>
      </c>
      <c r="O37" s="59">
        <f t="shared" si="18"/>
        <v>4601726.9042418124</v>
      </c>
      <c r="P37" s="59">
        <f t="shared" si="18"/>
        <v>4716770.0768478578</v>
      </c>
      <c r="Q37" s="59">
        <f t="shared" si="18"/>
        <v>4834689.3287690533</v>
      </c>
      <c r="R37" s="59">
        <f t="shared" si="18"/>
        <v>4955556.5619882792</v>
      </c>
      <c r="S37" s="60"/>
      <c r="T37" s="60"/>
      <c r="U37" s="60"/>
      <c r="V37" s="60"/>
      <c r="W37" s="60"/>
      <c r="X37" s="60"/>
      <c r="Y37" s="60"/>
      <c r="Z37" s="60"/>
    </row>
    <row r="38" spans="1:26" ht="15.75" customHeight="1" x14ac:dyDescent="0.4">
      <c r="A38" s="90" t="s">
        <v>49</v>
      </c>
      <c r="B38" s="72" t="s">
        <v>103</v>
      </c>
      <c r="C38" s="60" t="s">
        <v>117</v>
      </c>
      <c r="D38" s="60"/>
      <c r="E38" s="59"/>
      <c r="F38" s="59"/>
      <c r="G38" s="59"/>
      <c r="H38" s="59"/>
      <c r="I38" s="59"/>
      <c r="J38" s="59"/>
      <c r="K38" s="59">
        <f>SUM(K34:K37)*'Pricing Methodology &amp; Inputs'!$D$26</f>
        <v>3521108.935464636</v>
      </c>
      <c r="L38" s="59">
        <f>SUM(L34:L37)*'Pricing Methodology &amp; Inputs'!$D$26</f>
        <v>3537806.8202416021</v>
      </c>
      <c r="M38" s="59">
        <f>SUM(M34:M37)*'Pricing Methodology &amp; Inputs'!$D$26</f>
        <v>3614411.5698241484</v>
      </c>
      <c r="N38" s="59">
        <f>SUM(N34:N37)*'Pricing Methodology &amp; Inputs'!$D$26</f>
        <v>3663192.5759951835</v>
      </c>
      <c r="O38" s="59">
        <f>SUM(O34:O37)*'Pricing Methodology &amp; Inputs'!$D$26</f>
        <v>3707246.8670538212</v>
      </c>
      <c r="P38" s="59">
        <f>SUM(P34:P37)*'Pricing Methodology &amp; Inputs'!$D$26</f>
        <v>3721149.5589919109</v>
      </c>
      <c r="Q38" s="59">
        <f>SUM(Q34:Q37)*'Pricing Methodology &amp; Inputs'!$D$26</f>
        <v>3696480.1339418166</v>
      </c>
      <c r="R38" s="59">
        <f>SUM(R34:R37)*'Pricing Methodology &amp; Inputs'!$D$26</f>
        <v>3538223.0207980652</v>
      </c>
      <c r="S38" s="60"/>
      <c r="T38" s="60"/>
      <c r="U38" s="60"/>
      <c r="V38" s="60"/>
      <c r="W38" s="60"/>
      <c r="X38" s="60"/>
      <c r="Y38" s="60"/>
      <c r="Z38" s="60"/>
    </row>
    <row r="39" spans="1:26" ht="15.75" customHeight="1" x14ac:dyDescent="0.4">
      <c r="A39" s="91" t="s">
        <v>118</v>
      </c>
      <c r="B39" s="92" t="s">
        <v>103</v>
      </c>
      <c r="C39" s="91"/>
      <c r="D39" s="91"/>
      <c r="E39" s="93"/>
      <c r="F39" s="93">
        <f t="shared" ref="F39:R39" si="19">SUM(F34:F38)</f>
        <v>0</v>
      </c>
      <c r="G39" s="93">
        <f t="shared" si="19"/>
        <v>0</v>
      </c>
      <c r="H39" s="93">
        <f t="shared" si="19"/>
        <v>0</v>
      </c>
      <c r="I39" s="93">
        <f t="shared" si="19"/>
        <v>0</v>
      </c>
      <c r="J39" s="93">
        <f t="shared" si="19"/>
        <v>0</v>
      </c>
      <c r="K39" s="93">
        <f t="shared" si="19"/>
        <v>15258138.720346756</v>
      </c>
      <c r="L39" s="93">
        <f t="shared" si="19"/>
        <v>15330496.221046943</v>
      </c>
      <c r="M39" s="93">
        <f t="shared" si="19"/>
        <v>15662450.135904644</v>
      </c>
      <c r="N39" s="93">
        <f t="shared" si="19"/>
        <v>15873834.49597913</v>
      </c>
      <c r="O39" s="93">
        <f t="shared" si="19"/>
        <v>16064736.423899893</v>
      </c>
      <c r="P39" s="93">
        <f t="shared" si="19"/>
        <v>16124981.422298281</v>
      </c>
      <c r="Q39" s="93">
        <f t="shared" si="19"/>
        <v>16018080.580414539</v>
      </c>
      <c r="R39" s="93">
        <f t="shared" si="19"/>
        <v>15332299.756791616</v>
      </c>
      <c r="S39" s="60"/>
      <c r="T39" s="94"/>
      <c r="U39" s="94"/>
      <c r="V39" s="94"/>
      <c r="W39" s="94"/>
      <c r="X39" s="94"/>
      <c r="Y39" s="94"/>
      <c r="Z39" s="94"/>
    </row>
    <row r="40" spans="1:26" ht="15.75" customHeight="1" x14ac:dyDescent="0.4">
      <c r="A40" s="60"/>
      <c r="B40" s="72"/>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5.75" customHeight="1" x14ac:dyDescent="0.4">
      <c r="A41" s="60"/>
      <c r="B41" s="72"/>
      <c r="C41" s="60"/>
      <c r="D41" s="60"/>
      <c r="E41" s="59"/>
      <c r="F41" s="59"/>
      <c r="G41" s="59"/>
      <c r="H41" s="59"/>
      <c r="I41" s="59"/>
      <c r="J41" s="59"/>
      <c r="K41" s="59"/>
      <c r="L41" s="59"/>
      <c r="M41" s="59"/>
      <c r="N41" s="59"/>
      <c r="O41" s="59"/>
      <c r="P41" s="59"/>
      <c r="Q41" s="59"/>
      <c r="R41" s="60"/>
      <c r="S41" s="60"/>
      <c r="T41" s="60"/>
      <c r="U41" s="60"/>
      <c r="V41" s="60"/>
      <c r="W41" s="60"/>
      <c r="X41" s="60"/>
      <c r="Y41" s="60"/>
      <c r="Z41" s="60"/>
    </row>
    <row r="42" spans="1:26" ht="15.75" customHeight="1" x14ac:dyDescent="0.4">
      <c r="A42" s="55" t="s">
        <v>119</v>
      </c>
      <c r="B42" s="87"/>
      <c r="C42" s="55"/>
      <c r="D42" s="55"/>
      <c r="E42" s="55"/>
      <c r="F42" s="55"/>
      <c r="G42" s="55"/>
      <c r="H42" s="59"/>
      <c r="I42" s="59"/>
      <c r="J42" s="59"/>
      <c r="K42" s="59"/>
      <c r="L42" s="59"/>
      <c r="M42" s="59"/>
      <c r="N42" s="59"/>
      <c r="O42" s="59"/>
      <c r="P42" s="59"/>
      <c r="Q42" s="59"/>
      <c r="R42" s="60"/>
      <c r="S42" s="60"/>
      <c r="T42" s="60"/>
      <c r="U42" s="60"/>
      <c r="V42" s="60"/>
      <c r="W42" s="60"/>
      <c r="X42" s="60"/>
      <c r="Y42" s="60"/>
      <c r="Z42" s="60"/>
    </row>
    <row r="43" spans="1:26" ht="15.75" customHeight="1" x14ac:dyDescent="0.4">
      <c r="A43" s="60" t="s">
        <v>120</v>
      </c>
      <c r="B43" s="72" t="s">
        <v>121</v>
      </c>
      <c r="C43" s="60"/>
      <c r="D43" s="60"/>
      <c r="E43" s="95"/>
      <c r="F43" s="95"/>
      <c r="G43" s="95"/>
      <c r="H43" s="95"/>
      <c r="I43" s="95"/>
      <c r="J43" s="95"/>
      <c r="K43" s="95">
        <f t="shared" ref="K43:R43" si="20">K12</f>
        <v>40000</v>
      </c>
      <c r="L43" s="95">
        <f t="shared" si="20"/>
        <v>40000</v>
      </c>
      <c r="M43" s="95">
        <f t="shared" si="20"/>
        <v>40000</v>
      </c>
      <c r="N43" s="95">
        <f t="shared" si="20"/>
        <v>40000</v>
      </c>
      <c r="O43" s="95">
        <f t="shared" si="20"/>
        <v>40000</v>
      </c>
      <c r="P43" s="95">
        <f t="shared" si="20"/>
        <v>40000</v>
      </c>
      <c r="Q43" s="95">
        <f t="shared" si="20"/>
        <v>40000</v>
      </c>
      <c r="R43" s="95">
        <f t="shared" si="20"/>
        <v>40000</v>
      </c>
      <c r="S43" s="60"/>
      <c r="T43" s="60"/>
      <c r="U43" s="60"/>
      <c r="V43" s="60"/>
      <c r="W43" s="60"/>
      <c r="X43" s="60"/>
      <c r="Y43" s="60"/>
      <c r="Z43" s="60"/>
    </row>
    <row r="44" spans="1:26" ht="15.75" customHeight="1" x14ac:dyDescent="0.4">
      <c r="A44" s="60" t="s">
        <v>122</v>
      </c>
      <c r="B44" s="72" t="s">
        <v>123</v>
      </c>
      <c r="C44" s="60"/>
      <c r="D44" s="60"/>
      <c r="E44" s="60"/>
      <c r="F44" s="96"/>
      <c r="G44" s="96"/>
      <c r="H44" s="96"/>
      <c r="I44" s="96"/>
      <c r="J44" s="96"/>
      <c r="K44" s="97">
        <f t="shared" ref="K44:R44" si="21">K39/K43/365</f>
        <v>1.0450779945442983</v>
      </c>
      <c r="L44" s="97">
        <f t="shared" si="21"/>
        <v>1.0500339877429412</v>
      </c>
      <c r="M44" s="97">
        <f t="shared" si="21"/>
        <v>1.0727705572537427</v>
      </c>
      <c r="N44" s="97">
        <f t="shared" si="21"/>
        <v>1.0872489380807624</v>
      </c>
      <c r="O44" s="97">
        <f t="shared" si="21"/>
        <v>1.1003244125958831</v>
      </c>
      <c r="P44" s="97">
        <f t="shared" si="21"/>
        <v>1.1044507823491974</v>
      </c>
      <c r="Q44" s="97">
        <f t="shared" si="21"/>
        <v>1.0971288068777081</v>
      </c>
      <c r="R44" s="97">
        <f t="shared" si="21"/>
        <v>1.0501575175884668</v>
      </c>
      <c r="S44" s="60"/>
      <c r="T44" s="60"/>
      <c r="U44" s="60"/>
      <c r="V44" s="60"/>
      <c r="W44" s="60"/>
      <c r="X44" s="60"/>
      <c r="Y44" s="60"/>
      <c r="Z44" s="60"/>
    </row>
    <row r="45" spans="1:26" ht="15.75" customHeight="1" x14ac:dyDescent="0.4">
      <c r="A45" s="60" t="s">
        <v>124</v>
      </c>
      <c r="B45" s="72"/>
      <c r="C45" s="60"/>
      <c r="D45" s="59"/>
      <c r="E45" s="60"/>
      <c r="F45" s="59"/>
      <c r="G45" s="59"/>
      <c r="H45" s="59"/>
      <c r="I45" s="59"/>
      <c r="J45" s="60"/>
      <c r="K45" s="97">
        <f t="shared" ref="K45:N45" si="22">AVERAGE(K44:O44)</f>
        <v>1.0710911780435255</v>
      </c>
      <c r="L45" s="97">
        <f t="shared" si="22"/>
        <v>1.0829657356045055</v>
      </c>
      <c r="M45" s="97">
        <f t="shared" si="22"/>
        <v>1.092384699431459</v>
      </c>
      <c r="N45" s="97">
        <f t="shared" si="22"/>
        <v>1.0878620914984034</v>
      </c>
      <c r="O45" s="97"/>
      <c r="P45" s="97"/>
      <c r="Q45" s="60"/>
      <c r="R45" s="60"/>
      <c r="S45" s="60"/>
      <c r="T45" s="60"/>
      <c r="U45" s="60"/>
      <c r="V45" s="60"/>
      <c r="W45" s="60"/>
      <c r="X45" s="60"/>
      <c r="Y45" s="60"/>
      <c r="Z45" s="60"/>
    </row>
    <row r="46" spans="1:26" ht="15.75" customHeight="1" x14ac:dyDescent="0.4">
      <c r="A46" s="60"/>
      <c r="B46" s="72"/>
      <c r="C46" s="60"/>
      <c r="D46" s="59"/>
      <c r="E46" s="60"/>
      <c r="F46" s="59"/>
      <c r="G46" s="59"/>
      <c r="H46" s="59"/>
      <c r="I46" s="59"/>
      <c r="J46" s="60"/>
      <c r="K46" s="97"/>
      <c r="L46" s="97"/>
      <c r="M46" s="97"/>
      <c r="N46" s="97"/>
      <c r="O46" s="97"/>
      <c r="P46" s="97"/>
      <c r="Q46" s="60"/>
      <c r="R46" s="60"/>
      <c r="S46" s="60"/>
      <c r="T46" s="60"/>
      <c r="U46" s="60"/>
      <c r="V46" s="60"/>
      <c r="W46" s="60"/>
      <c r="X46" s="60"/>
      <c r="Y46" s="60"/>
      <c r="Z46" s="60"/>
    </row>
    <row r="47" spans="1:26" ht="15.75" customHeight="1" x14ac:dyDescent="0.4">
      <c r="A47" s="60"/>
      <c r="B47" s="69"/>
      <c r="C47" s="60" t="s">
        <v>113</v>
      </c>
      <c r="D47" s="59">
        <f t="shared" ref="D47:D52" si="23">AVERAGE(K34:O34)</f>
        <v>6526242.347961423</v>
      </c>
      <c r="E47" s="60"/>
      <c r="F47" s="98"/>
      <c r="G47" s="59"/>
      <c r="H47" s="59"/>
      <c r="I47" s="59"/>
      <c r="J47" s="59"/>
      <c r="K47" s="59"/>
      <c r="L47" s="59"/>
      <c r="M47" s="59"/>
      <c r="N47" s="59"/>
      <c r="O47" s="59"/>
      <c r="P47" s="59"/>
      <c r="Q47" s="59"/>
      <c r="R47" s="60"/>
      <c r="S47" s="60"/>
      <c r="T47" s="60"/>
      <c r="U47" s="60"/>
      <c r="V47" s="60"/>
      <c r="W47" s="60"/>
      <c r="X47" s="60"/>
      <c r="Y47" s="60"/>
      <c r="Z47" s="60"/>
    </row>
    <row r="48" spans="1:26" ht="15.75" customHeight="1" x14ac:dyDescent="0.4">
      <c r="A48" s="60"/>
      <c r="B48" s="69"/>
      <c r="C48" s="60" t="s">
        <v>114</v>
      </c>
      <c r="D48" s="59">
        <f t="shared" si="23"/>
        <v>598767.67851086392</v>
      </c>
      <c r="E48" s="60"/>
      <c r="F48" s="98"/>
      <c r="G48" s="59"/>
      <c r="H48" s="59"/>
      <c r="I48" s="59"/>
      <c r="J48" s="59"/>
      <c r="K48" s="59"/>
      <c r="L48" s="59"/>
      <c r="M48" s="59"/>
      <c r="N48" s="59"/>
      <c r="O48" s="59"/>
      <c r="P48" s="59"/>
      <c r="Q48" s="59"/>
      <c r="R48" s="60"/>
      <c r="S48" s="60"/>
      <c r="T48" s="60"/>
      <c r="U48" s="60"/>
      <c r="V48" s="60"/>
      <c r="W48" s="60"/>
      <c r="X48" s="60"/>
      <c r="Y48" s="60"/>
      <c r="Z48" s="60"/>
    </row>
    <row r="49" spans="1:26" ht="15.75" customHeight="1" x14ac:dyDescent="0.4">
      <c r="A49" s="60"/>
      <c r="B49" s="69"/>
      <c r="C49" s="60" t="s">
        <v>115</v>
      </c>
      <c r="D49" s="59">
        <f t="shared" si="23"/>
        <v>531656.76179999998</v>
      </c>
      <c r="E49" s="60"/>
      <c r="F49" s="98"/>
      <c r="G49" s="59"/>
      <c r="H49" s="59"/>
      <c r="I49" s="59"/>
      <c r="J49" s="59"/>
      <c r="K49" s="59"/>
      <c r="L49" s="59"/>
      <c r="M49" s="59"/>
      <c r="N49" s="59"/>
      <c r="O49" s="59"/>
      <c r="P49" s="59"/>
      <c r="Q49" s="59"/>
      <c r="R49" s="60"/>
      <c r="S49" s="60"/>
      <c r="T49" s="60"/>
      <c r="U49" s="60"/>
      <c r="V49" s="60"/>
      <c r="W49" s="60"/>
      <c r="X49" s="60"/>
      <c r="Y49" s="60"/>
      <c r="Z49" s="60"/>
    </row>
    <row r="50" spans="1:26" ht="15.75" customHeight="1" x14ac:dyDescent="0.4">
      <c r="A50" s="60"/>
      <c r="B50" s="72"/>
      <c r="C50" s="60" t="s">
        <v>116</v>
      </c>
      <c r="D50" s="59">
        <f t="shared" si="23"/>
        <v>4372511.0574473077</v>
      </c>
      <c r="E50" s="60"/>
      <c r="F50" s="98"/>
      <c r="G50" s="59"/>
      <c r="H50" s="59"/>
      <c r="I50" s="59"/>
      <c r="J50" s="59"/>
      <c r="K50" s="59"/>
      <c r="L50" s="59"/>
      <c r="M50" s="59"/>
      <c r="N50" s="59"/>
      <c r="O50" s="59"/>
      <c r="P50" s="59"/>
      <c r="Q50" s="59"/>
      <c r="R50" s="60"/>
      <c r="S50" s="60"/>
      <c r="T50" s="60"/>
      <c r="U50" s="60"/>
      <c r="V50" s="60"/>
      <c r="W50" s="60"/>
      <c r="X50" s="60"/>
      <c r="Y50" s="60"/>
      <c r="Z50" s="60"/>
    </row>
    <row r="51" spans="1:26" ht="15.75" customHeight="1" x14ac:dyDescent="0.4">
      <c r="A51" s="60"/>
      <c r="B51" s="72"/>
      <c r="C51" s="90" t="s">
        <v>49</v>
      </c>
      <c r="D51" s="59">
        <f t="shared" si="23"/>
        <v>3608753.353715878</v>
      </c>
      <c r="E51" s="60"/>
      <c r="F51" s="98"/>
      <c r="G51" s="59"/>
      <c r="H51" s="59"/>
      <c r="I51" s="59"/>
      <c r="J51" s="59"/>
      <c r="K51" s="59"/>
      <c r="L51" s="59"/>
      <c r="M51" s="59"/>
      <c r="N51" s="59"/>
      <c r="O51" s="59"/>
      <c r="P51" s="59"/>
      <c r="Q51" s="59"/>
      <c r="R51" s="60"/>
      <c r="S51" s="60"/>
      <c r="T51" s="60"/>
      <c r="U51" s="60"/>
      <c r="V51" s="60"/>
      <c r="W51" s="60"/>
      <c r="X51" s="60"/>
      <c r="Y51" s="60"/>
      <c r="Z51" s="60"/>
    </row>
    <row r="52" spans="1:26" ht="15.75" customHeight="1" x14ac:dyDescent="0.4">
      <c r="A52" s="60"/>
      <c r="B52" s="69"/>
      <c r="C52" s="60" t="s">
        <v>118</v>
      </c>
      <c r="D52" s="59">
        <f t="shared" si="23"/>
        <v>15637931.199435472</v>
      </c>
      <c r="E52" s="60"/>
      <c r="F52" s="98"/>
      <c r="G52" s="59"/>
      <c r="H52" s="59"/>
      <c r="I52" s="59"/>
      <c r="J52" s="59"/>
      <c r="K52" s="59"/>
      <c r="L52" s="59"/>
      <c r="M52" s="59"/>
      <c r="N52" s="59"/>
      <c r="O52" s="59"/>
      <c r="P52" s="59"/>
      <c r="Q52" s="59"/>
      <c r="R52" s="60"/>
      <c r="S52" s="60"/>
      <c r="T52" s="60"/>
      <c r="U52" s="60"/>
      <c r="V52" s="60"/>
      <c r="W52" s="60"/>
      <c r="X52" s="60"/>
      <c r="Y52" s="60"/>
      <c r="Z52" s="60"/>
    </row>
    <row r="53" spans="1:26" ht="15.75" customHeight="1" x14ac:dyDescent="0.4">
      <c r="A53" s="60"/>
      <c r="B53" s="69"/>
      <c r="C53" s="60" t="s">
        <v>120</v>
      </c>
      <c r="D53" s="95">
        <f>K43</f>
        <v>40000</v>
      </c>
      <c r="E53" s="60"/>
      <c r="F53" s="98"/>
      <c r="G53" s="59"/>
      <c r="H53" s="59"/>
      <c r="I53" s="59"/>
      <c r="J53" s="59"/>
      <c r="K53" s="59"/>
      <c r="L53" s="59"/>
      <c r="M53" s="59"/>
      <c r="N53" s="59"/>
      <c r="O53" s="59"/>
      <c r="P53" s="59"/>
      <c r="Q53" s="59"/>
      <c r="R53" s="60"/>
      <c r="S53" s="60"/>
      <c r="T53" s="60"/>
      <c r="U53" s="60"/>
      <c r="V53" s="60"/>
      <c r="W53" s="60"/>
      <c r="X53" s="60"/>
      <c r="Y53" s="60"/>
      <c r="Z53" s="60"/>
    </row>
    <row r="54" spans="1:26" ht="15.75" customHeight="1" x14ac:dyDescent="0.4">
      <c r="A54" s="60"/>
      <c r="B54" s="69"/>
      <c r="C54" s="99" t="s">
        <v>119</v>
      </c>
      <c r="D54" s="100" t="s">
        <v>123</v>
      </c>
      <c r="E54" s="60"/>
      <c r="F54" s="98"/>
      <c r="G54" s="59"/>
      <c r="H54" s="59"/>
      <c r="I54" s="59"/>
      <c r="J54" s="59"/>
      <c r="K54" s="59"/>
      <c r="L54" s="59"/>
      <c r="M54" s="59"/>
      <c r="N54" s="59"/>
      <c r="O54" s="59"/>
      <c r="P54" s="59"/>
      <c r="Q54" s="59"/>
      <c r="R54" s="60"/>
      <c r="S54" s="60"/>
      <c r="T54" s="60"/>
      <c r="U54" s="60"/>
      <c r="V54" s="60"/>
      <c r="W54" s="60"/>
      <c r="X54" s="60"/>
      <c r="Y54" s="60"/>
      <c r="Z54" s="60"/>
    </row>
    <row r="55" spans="1:26" ht="15.75" customHeight="1" x14ac:dyDescent="0.4">
      <c r="A55" s="60"/>
      <c r="B55" s="69"/>
      <c r="C55" s="101" t="s">
        <v>125</v>
      </c>
      <c r="D55" s="102">
        <f>D52/365/K43</f>
        <v>1.0710911780435255</v>
      </c>
      <c r="E55" s="60"/>
      <c r="F55" s="98"/>
      <c r="G55" s="59"/>
      <c r="H55" s="60"/>
      <c r="I55" s="60"/>
      <c r="J55" s="60"/>
      <c r="K55" s="60"/>
      <c r="L55" s="60"/>
      <c r="M55" s="60"/>
      <c r="N55" s="60"/>
      <c r="O55" s="60"/>
      <c r="P55" s="60"/>
      <c r="Q55" s="60"/>
      <c r="R55" s="60"/>
      <c r="S55" s="60"/>
      <c r="T55" s="60"/>
      <c r="U55" s="60"/>
      <c r="V55" s="60"/>
      <c r="W55" s="60"/>
      <c r="X55" s="60"/>
      <c r="Y55" s="60"/>
      <c r="Z55" s="60"/>
    </row>
    <row r="56" spans="1:26" ht="15.75" customHeight="1" x14ac:dyDescent="0.4">
      <c r="A56" s="60"/>
      <c r="B56" s="69"/>
      <c r="C56" s="60"/>
      <c r="D56" s="103"/>
      <c r="E56" s="104"/>
      <c r="F56" s="98"/>
      <c r="G56" s="59"/>
      <c r="H56" s="60"/>
      <c r="I56" s="60"/>
      <c r="J56" s="60"/>
      <c r="K56" s="60"/>
      <c r="L56" s="60"/>
      <c r="M56" s="60"/>
      <c r="N56" s="60"/>
      <c r="O56" s="60"/>
      <c r="P56" s="60"/>
      <c r="Q56" s="60"/>
      <c r="R56" s="60"/>
      <c r="S56" s="60"/>
      <c r="T56" s="60"/>
      <c r="U56" s="60"/>
      <c r="V56" s="60"/>
      <c r="W56" s="60"/>
      <c r="X56" s="60"/>
      <c r="Y56" s="60"/>
      <c r="Z56" s="60"/>
    </row>
    <row r="57" spans="1:26" ht="15.75" customHeight="1" x14ac:dyDescent="0.4">
      <c r="A57" s="60"/>
      <c r="B57" s="69"/>
      <c r="C57" s="60"/>
      <c r="D57" s="60"/>
      <c r="E57" s="60"/>
      <c r="F57" s="98"/>
      <c r="G57" s="59"/>
      <c r="H57" s="60"/>
      <c r="I57" s="60"/>
      <c r="J57" s="60"/>
      <c r="K57" s="60"/>
      <c r="L57" s="60"/>
      <c r="M57" s="60"/>
      <c r="N57" s="60"/>
      <c r="O57" s="60"/>
      <c r="P57" s="60"/>
      <c r="Q57" s="60"/>
      <c r="R57" s="60"/>
      <c r="S57" s="60"/>
      <c r="T57" s="60"/>
      <c r="U57" s="60"/>
      <c r="V57" s="60"/>
      <c r="W57" s="60"/>
      <c r="X57" s="60"/>
      <c r="Y57" s="60"/>
      <c r="Z57" s="60"/>
    </row>
    <row r="58" spans="1:26" ht="15.75" customHeight="1" x14ac:dyDescent="0.4">
      <c r="A58" s="60"/>
      <c r="B58" s="69"/>
      <c r="C58" s="60"/>
      <c r="D58" s="60"/>
      <c r="E58" s="60"/>
      <c r="F58" s="60"/>
      <c r="G58" s="59"/>
      <c r="H58" s="60"/>
      <c r="I58" s="60"/>
      <c r="J58" s="60"/>
      <c r="K58" s="60"/>
      <c r="L58" s="60"/>
      <c r="M58" s="60"/>
      <c r="N58" s="60"/>
      <c r="O58" s="60"/>
      <c r="P58" s="60"/>
      <c r="Q58" s="60"/>
      <c r="R58" s="60"/>
      <c r="S58" s="60"/>
      <c r="T58" s="60"/>
      <c r="U58" s="60"/>
      <c r="V58" s="60"/>
      <c r="W58" s="60"/>
      <c r="X58" s="60"/>
      <c r="Y58" s="60"/>
      <c r="Z58" s="60"/>
    </row>
    <row r="59" spans="1:26" ht="15.75" customHeight="1" x14ac:dyDescent="0.4">
      <c r="A59" s="60"/>
      <c r="B59" s="69"/>
      <c r="C59" s="60"/>
      <c r="D59" s="60"/>
      <c r="E59" s="60"/>
      <c r="F59" s="60"/>
      <c r="G59" s="59"/>
      <c r="H59" s="60"/>
      <c r="I59" s="60"/>
      <c r="J59" s="60"/>
      <c r="K59" s="60"/>
      <c r="L59" s="60"/>
      <c r="M59" s="60"/>
      <c r="N59" s="60"/>
      <c r="O59" s="60"/>
      <c r="P59" s="60"/>
      <c r="Q59" s="60"/>
      <c r="R59" s="60"/>
      <c r="S59" s="60"/>
      <c r="T59" s="60"/>
      <c r="U59" s="60"/>
      <c r="V59" s="60"/>
      <c r="W59" s="60"/>
      <c r="X59" s="60"/>
      <c r="Y59" s="60"/>
      <c r="Z59" s="60"/>
    </row>
    <row r="60" spans="1:26" ht="15.75" customHeight="1" x14ac:dyDescent="0.4">
      <c r="A60" s="60"/>
      <c r="B60" s="69"/>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5.75" customHeight="1" x14ac:dyDescent="0.4">
      <c r="A61" s="60"/>
      <c r="B61" s="69"/>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5.75" customHeight="1" x14ac:dyDescent="0.4">
      <c r="A62" s="60"/>
      <c r="B62" s="69"/>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5.75" customHeight="1" x14ac:dyDescent="0.4">
      <c r="A63" s="60"/>
      <c r="B63" s="69"/>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5.75" customHeight="1" x14ac:dyDescent="0.4">
      <c r="A64" s="60"/>
      <c r="B64" s="69"/>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5.75" customHeight="1" x14ac:dyDescent="0.4">
      <c r="A65" s="60"/>
      <c r="B65" s="69"/>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5.75" customHeight="1" x14ac:dyDescent="0.4">
      <c r="A66" s="60"/>
      <c r="B66" s="69"/>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5.75" customHeight="1" x14ac:dyDescent="0.4">
      <c r="A67" s="60"/>
      <c r="B67" s="69"/>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5.75" customHeight="1" x14ac:dyDescent="0.4">
      <c r="A68" s="60"/>
      <c r="B68" s="69"/>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5.75" customHeight="1" x14ac:dyDescent="0.4">
      <c r="A69" s="60"/>
      <c r="B69" s="69"/>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5.75" customHeight="1" x14ac:dyDescent="0.4">
      <c r="A70" s="60"/>
      <c r="B70" s="69"/>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5.75" customHeight="1" x14ac:dyDescent="0.4">
      <c r="A71" s="60"/>
      <c r="B71" s="69"/>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5.75" customHeight="1" x14ac:dyDescent="0.4">
      <c r="A72" s="60"/>
      <c r="B72" s="69"/>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5.75" customHeight="1" x14ac:dyDescent="0.4">
      <c r="A73" s="60"/>
      <c r="B73" s="69"/>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5.75" customHeight="1" x14ac:dyDescent="0.4">
      <c r="A74" s="60"/>
      <c r="B74" s="69"/>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5.75" customHeight="1" x14ac:dyDescent="0.4">
      <c r="A75" s="60"/>
      <c r="B75" s="69"/>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5.75" customHeight="1" x14ac:dyDescent="0.4">
      <c r="A76" s="60"/>
      <c r="B76" s="69"/>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5.75" customHeight="1" x14ac:dyDescent="0.4">
      <c r="A77" s="60"/>
      <c r="B77" s="69"/>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5.75" customHeight="1" x14ac:dyDescent="0.4">
      <c r="A78" s="60"/>
      <c r="B78" s="69"/>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5.75" customHeight="1" x14ac:dyDescent="0.4">
      <c r="A79" s="60"/>
      <c r="B79" s="69"/>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5.75" customHeight="1" x14ac:dyDescent="0.4">
      <c r="A80" s="60"/>
      <c r="B80" s="69"/>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5.75" customHeight="1" x14ac:dyDescent="0.4">
      <c r="A81" s="60"/>
      <c r="B81" s="69"/>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5.75" customHeight="1" x14ac:dyDescent="0.4">
      <c r="A82" s="60"/>
      <c r="B82" s="69"/>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5.75" customHeight="1" x14ac:dyDescent="0.4">
      <c r="A83" s="60"/>
      <c r="B83" s="69"/>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5.75" customHeight="1" x14ac:dyDescent="0.4">
      <c r="A84" s="60"/>
      <c r="B84" s="69"/>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5.75" customHeight="1" x14ac:dyDescent="0.4">
      <c r="A85" s="60"/>
      <c r="B85" s="69"/>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5.75" customHeight="1" x14ac:dyDescent="0.4">
      <c r="A86" s="60"/>
      <c r="B86" s="69"/>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5.75" customHeight="1" x14ac:dyDescent="0.4">
      <c r="A87" s="60"/>
      <c r="B87" s="69"/>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5.75" customHeight="1" x14ac:dyDescent="0.4">
      <c r="A88" s="60"/>
      <c r="B88" s="69"/>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5.75" customHeight="1" x14ac:dyDescent="0.4">
      <c r="A89" s="60"/>
      <c r="B89" s="69"/>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5.75" customHeight="1" x14ac:dyDescent="0.4">
      <c r="A90" s="60"/>
      <c r="B90" s="69"/>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5.75" customHeight="1" x14ac:dyDescent="0.4">
      <c r="A91" s="60"/>
      <c r="B91" s="69"/>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5.75" customHeight="1" x14ac:dyDescent="0.4">
      <c r="A92" s="60"/>
      <c r="B92" s="69"/>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5.75" customHeight="1" x14ac:dyDescent="0.4">
      <c r="A93" s="60"/>
      <c r="B93" s="69"/>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5.75" customHeight="1" x14ac:dyDescent="0.4">
      <c r="A94" s="60"/>
      <c r="B94" s="69"/>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5.75" customHeight="1" x14ac:dyDescent="0.4">
      <c r="A95" s="60"/>
      <c r="B95" s="69"/>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5.75" customHeight="1" x14ac:dyDescent="0.4">
      <c r="A96" s="60"/>
      <c r="B96" s="69"/>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5.75" customHeight="1" x14ac:dyDescent="0.4">
      <c r="A97" s="60"/>
      <c r="B97" s="69"/>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5.75" customHeight="1" x14ac:dyDescent="0.4">
      <c r="A98" s="60"/>
      <c r="B98" s="69"/>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5.75" customHeight="1" x14ac:dyDescent="0.4">
      <c r="A99" s="60"/>
      <c r="B99" s="69"/>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5.75" customHeight="1" x14ac:dyDescent="0.4">
      <c r="A100" s="60"/>
      <c r="B100" s="69"/>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5.75" customHeight="1" x14ac:dyDescent="0.4">
      <c r="A101" s="60"/>
      <c r="B101" s="69"/>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5.75" customHeight="1" x14ac:dyDescent="0.4">
      <c r="A102" s="60"/>
      <c r="B102" s="69"/>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5.75" customHeight="1" x14ac:dyDescent="0.4">
      <c r="A103" s="60"/>
      <c r="B103" s="6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5.75" customHeight="1" x14ac:dyDescent="0.4">
      <c r="A104" s="60"/>
      <c r="B104" s="69"/>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5.75" customHeight="1" x14ac:dyDescent="0.4">
      <c r="A105" s="60"/>
      <c r="B105" s="69"/>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5.75" customHeight="1" x14ac:dyDescent="0.4">
      <c r="A106" s="60"/>
      <c r="B106" s="69"/>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5.75" customHeight="1" x14ac:dyDescent="0.4">
      <c r="A107" s="60"/>
      <c r="B107" s="69"/>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5.75" customHeight="1" x14ac:dyDescent="0.4">
      <c r="A108" s="60"/>
      <c r="B108" s="69"/>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5.75" customHeight="1" x14ac:dyDescent="0.4">
      <c r="A109" s="60"/>
      <c r="B109" s="69"/>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5.75" customHeight="1" x14ac:dyDescent="0.4">
      <c r="A110" s="60"/>
      <c r="B110" s="69"/>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5.75" customHeight="1" x14ac:dyDescent="0.4">
      <c r="A111" s="60"/>
      <c r="B111" s="69"/>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5.75" customHeight="1" x14ac:dyDescent="0.4">
      <c r="A112" s="60"/>
      <c r="B112" s="69"/>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5.75" customHeight="1" x14ac:dyDescent="0.4">
      <c r="A113" s="60"/>
      <c r="B113" s="69"/>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5.75" customHeight="1" x14ac:dyDescent="0.4">
      <c r="A114" s="60"/>
      <c r="B114" s="69"/>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5.75" customHeight="1" x14ac:dyDescent="0.4">
      <c r="A115" s="60"/>
      <c r="B115" s="69"/>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5.75" customHeight="1" x14ac:dyDescent="0.4">
      <c r="A116" s="60"/>
      <c r="B116" s="69"/>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5.75" customHeight="1" x14ac:dyDescent="0.4">
      <c r="A117" s="60"/>
      <c r="B117" s="69"/>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5.75" customHeight="1" x14ac:dyDescent="0.4">
      <c r="A118" s="60"/>
      <c r="B118" s="69"/>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5.75" customHeight="1" x14ac:dyDescent="0.4">
      <c r="A119" s="60"/>
      <c r="B119" s="69"/>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5.75" customHeight="1" x14ac:dyDescent="0.4">
      <c r="A120" s="60"/>
      <c r="B120" s="69"/>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5.75" customHeight="1" x14ac:dyDescent="0.4">
      <c r="A121" s="60"/>
      <c r="B121" s="69"/>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5.75" customHeight="1" x14ac:dyDescent="0.4">
      <c r="A122" s="60"/>
      <c r="B122" s="69"/>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5.75" customHeight="1" x14ac:dyDescent="0.4">
      <c r="A123" s="60"/>
      <c r="B123" s="69"/>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5.75" customHeight="1" x14ac:dyDescent="0.4">
      <c r="A124" s="60"/>
      <c r="B124" s="69"/>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5.75" customHeight="1" x14ac:dyDescent="0.4">
      <c r="A125" s="60"/>
      <c r="B125" s="69"/>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5.75" customHeight="1" x14ac:dyDescent="0.4">
      <c r="A126" s="60"/>
      <c r="B126" s="69"/>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5.75" customHeight="1" x14ac:dyDescent="0.4">
      <c r="A127" s="60"/>
      <c r="B127" s="69"/>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5.75" customHeight="1" x14ac:dyDescent="0.4">
      <c r="A128" s="60"/>
      <c r="B128" s="69"/>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5.75" customHeight="1" x14ac:dyDescent="0.4">
      <c r="A129" s="60"/>
      <c r="B129" s="69"/>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5.75" customHeight="1" x14ac:dyDescent="0.4">
      <c r="A130" s="60"/>
      <c r="B130" s="69"/>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5.75" customHeight="1" x14ac:dyDescent="0.4">
      <c r="A131" s="60"/>
      <c r="B131" s="69"/>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5.75" customHeight="1" x14ac:dyDescent="0.4">
      <c r="A132" s="60"/>
      <c r="B132" s="69"/>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5.75" customHeight="1" x14ac:dyDescent="0.4">
      <c r="A133" s="60"/>
      <c r="B133" s="69"/>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5.75" customHeight="1" x14ac:dyDescent="0.4">
      <c r="A134" s="60"/>
      <c r="B134" s="69"/>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5.75" customHeight="1" x14ac:dyDescent="0.4">
      <c r="A135" s="60"/>
      <c r="B135" s="69"/>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5.75" customHeight="1" x14ac:dyDescent="0.4">
      <c r="A136" s="60"/>
      <c r="B136" s="69"/>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5.75" customHeight="1" x14ac:dyDescent="0.4">
      <c r="A137" s="60"/>
      <c r="B137" s="69"/>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5.75" customHeight="1" x14ac:dyDescent="0.4">
      <c r="A138" s="60"/>
      <c r="B138" s="6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5.75" customHeight="1" x14ac:dyDescent="0.4">
      <c r="A139" s="60"/>
      <c r="B139" s="69"/>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5.75" customHeight="1" x14ac:dyDescent="0.4">
      <c r="A140" s="60"/>
      <c r="B140" s="6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5.75" customHeight="1" x14ac:dyDescent="0.4">
      <c r="A141" s="60"/>
      <c r="B141" s="69"/>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5.75" customHeight="1" x14ac:dyDescent="0.4">
      <c r="A142" s="60"/>
      <c r="B142" s="69"/>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5.75" customHeight="1" x14ac:dyDescent="0.4">
      <c r="A143" s="60"/>
      <c r="B143" s="69"/>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5.75" customHeight="1" x14ac:dyDescent="0.4">
      <c r="A144" s="60"/>
      <c r="B144" s="69"/>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5.75" customHeight="1" x14ac:dyDescent="0.4">
      <c r="A145" s="60"/>
      <c r="B145" s="69"/>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5.75" customHeight="1" x14ac:dyDescent="0.4">
      <c r="A146" s="60"/>
      <c r="B146" s="69"/>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5.75" customHeight="1" x14ac:dyDescent="0.4">
      <c r="A147" s="60"/>
      <c r="B147" s="69"/>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5.75" customHeight="1" x14ac:dyDescent="0.4">
      <c r="A148" s="60"/>
      <c r="B148" s="69"/>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5.75" customHeight="1" x14ac:dyDescent="0.4">
      <c r="A149" s="60"/>
      <c r="B149" s="69"/>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5.75" customHeight="1" x14ac:dyDescent="0.4">
      <c r="A150" s="60"/>
      <c r="B150" s="69"/>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5.75" customHeight="1" x14ac:dyDescent="0.4">
      <c r="A151" s="60"/>
      <c r="B151" s="69"/>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5.75" customHeight="1" x14ac:dyDescent="0.4">
      <c r="A152" s="60"/>
      <c r="B152" s="69"/>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5.75" customHeight="1" x14ac:dyDescent="0.4">
      <c r="A153" s="60"/>
      <c r="B153" s="69"/>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5.75" customHeight="1" x14ac:dyDescent="0.4">
      <c r="A154" s="60"/>
      <c r="B154" s="69"/>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5.75" customHeight="1" x14ac:dyDescent="0.4">
      <c r="A155" s="60"/>
      <c r="B155" s="69"/>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5.75" customHeight="1" x14ac:dyDescent="0.4">
      <c r="A156" s="60"/>
      <c r="B156" s="69"/>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5.75" customHeight="1" x14ac:dyDescent="0.4">
      <c r="A157" s="60"/>
      <c r="B157" s="69"/>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5.75" customHeight="1" x14ac:dyDescent="0.4">
      <c r="A158" s="60"/>
      <c r="B158" s="69"/>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5.75" customHeight="1" x14ac:dyDescent="0.4">
      <c r="A159" s="60"/>
      <c r="B159" s="69"/>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5.75" customHeight="1" x14ac:dyDescent="0.4">
      <c r="A160" s="60"/>
      <c r="B160" s="69"/>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5.75" customHeight="1" x14ac:dyDescent="0.4">
      <c r="A161" s="60"/>
      <c r="B161" s="69"/>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5.75" customHeight="1" x14ac:dyDescent="0.4">
      <c r="A162" s="60"/>
      <c r="B162" s="69"/>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5.75" customHeight="1" x14ac:dyDescent="0.4">
      <c r="A163" s="60"/>
      <c r="B163" s="69"/>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5.75" customHeight="1" x14ac:dyDescent="0.4">
      <c r="A164" s="60"/>
      <c r="B164" s="69"/>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5.75" customHeight="1" x14ac:dyDescent="0.4">
      <c r="A165" s="60"/>
      <c r="B165" s="69"/>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5.75" customHeight="1" x14ac:dyDescent="0.4">
      <c r="A166" s="60"/>
      <c r="B166" s="69"/>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5.75" customHeight="1" x14ac:dyDescent="0.4">
      <c r="A167" s="60"/>
      <c r="B167" s="69"/>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5.75" customHeight="1" x14ac:dyDescent="0.4">
      <c r="A168" s="60"/>
      <c r="B168" s="69"/>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5.75" customHeight="1" x14ac:dyDescent="0.4">
      <c r="A169" s="60"/>
      <c r="B169" s="69"/>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5.75" customHeight="1" x14ac:dyDescent="0.4">
      <c r="A170" s="60"/>
      <c r="B170" s="69"/>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5.75" customHeight="1" x14ac:dyDescent="0.4">
      <c r="A171" s="60"/>
      <c r="B171" s="69"/>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5.75" customHeight="1" x14ac:dyDescent="0.4">
      <c r="A172" s="60"/>
      <c r="B172" s="69"/>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5.75" customHeight="1" x14ac:dyDescent="0.4">
      <c r="A173" s="60"/>
      <c r="B173" s="69"/>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5.75" customHeight="1" x14ac:dyDescent="0.4">
      <c r="A174" s="60"/>
      <c r="B174" s="69"/>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5.75" customHeight="1" x14ac:dyDescent="0.4">
      <c r="A175" s="60"/>
      <c r="B175" s="69"/>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5.75" customHeight="1" x14ac:dyDescent="0.4">
      <c r="A176" s="60"/>
      <c r="B176" s="69"/>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5.75" customHeight="1" x14ac:dyDescent="0.4">
      <c r="A177" s="60"/>
      <c r="B177" s="69"/>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5.75" customHeight="1" x14ac:dyDescent="0.4">
      <c r="A178" s="60"/>
      <c r="B178" s="69"/>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5.75" customHeight="1" x14ac:dyDescent="0.4">
      <c r="A179" s="60"/>
      <c r="B179" s="69"/>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5.75" customHeight="1" x14ac:dyDescent="0.4">
      <c r="A180" s="60"/>
      <c r="B180" s="69"/>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5.75" customHeight="1" x14ac:dyDescent="0.4">
      <c r="A181" s="60"/>
      <c r="B181" s="69"/>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5.75" customHeight="1" x14ac:dyDescent="0.4">
      <c r="A182" s="60"/>
      <c r="B182" s="69"/>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5.75" customHeight="1" x14ac:dyDescent="0.4">
      <c r="A183" s="60"/>
      <c r="B183" s="69"/>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5.75" customHeight="1" x14ac:dyDescent="0.4">
      <c r="A184" s="60"/>
      <c r="B184" s="69"/>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5.75" customHeight="1" x14ac:dyDescent="0.4">
      <c r="A185" s="60"/>
      <c r="B185" s="69"/>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5.75" customHeight="1" x14ac:dyDescent="0.4">
      <c r="A186" s="60"/>
      <c r="B186" s="69"/>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5.75" customHeight="1" x14ac:dyDescent="0.4">
      <c r="A187" s="60"/>
      <c r="B187" s="69"/>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5.75" customHeight="1" x14ac:dyDescent="0.4">
      <c r="A188" s="60"/>
      <c r="B188" s="69"/>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5.75" customHeight="1" x14ac:dyDescent="0.4">
      <c r="A189" s="60"/>
      <c r="B189" s="69"/>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5.75" customHeight="1" x14ac:dyDescent="0.4">
      <c r="A190" s="60"/>
      <c r="B190" s="69"/>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5.75" customHeight="1" x14ac:dyDescent="0.4">
      <c r="A191" s="60"/>
      <c r="B191" s="69"/>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5.75" customHeight="1" x14ac:dyDescent="0.4">
      <c r="A192" s="60"/>
      <c r="B192" s="69"/>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5.75" customHeight="1" x14ac:dyDescent="0.4">
      <c r="A193" s="60"/>
      <c r="B193" s="69"/>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5.75" customHeight="1" x14ac:dyDescent="0.4">
      <c r="A194" s="60"/>
      <c r="B194" s="69"/>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5.75" customHeight="1" x14ac:dyDescent="0.4">
      <c r="A195" s="60"/>
      <c r="B195" s="69"/>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5.75" customHeight="1" x14ac:dyDescent="0.4">
      <c r="A196" s="60"/>
      <c r="B196" s="69"/>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5.75" customHeight="1" x14ac:dyDescent="0.4">
      <c r="A197" s="60"/>
      <c r="B197" s="69"/>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5.75" customHeight="1" x14ac:dyDescent="0.4">
      <c r="A198" s="60"/>
      <c r="B198" s="69"/>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5.75" customHeight="1" x14ac:dyDescent="0.4">
      <c r="A199" s="60"/>
      <c r="B199" s="69"/>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5.75" customHeight="1" x14ac:dyDescent="0.4">
      <c r="A200" s="60"/>
      <c r="B200" s="69"/>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5.75" customHeight="1" x14ac:dyDescent="0.4">
      <c r="A201" s="60"/>
      <c r="B201" s="69"/>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5.75" customHeight="1" x14ac:dyDescent="0.4">
      <c r="A202" s="60"/>
      <c r="B202" s="69"/>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5.75" customHeight="1" x14ac:dyDescent="0.4">
      <c r="A203" s="60"/>
      <c r="B203" s="69"/>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5.75" customHeight="1" x14ac:dyDescent="0.4">
      <c r="A204" s="60"/>
      <c r="B204" s="69"/>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5.75" customHeight="1" x14ac:dyDescent="0.4">
      <c r="A205" s="60"/>
      <c r="B205" s="69"/>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5.75" customHeight="1" x14ac:dyDescent="0.4">
      <c r="A206" s="60"/>
      <c r="B206" s="69"/>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5.75" customHeight="1" x14ac:dyDescent="0.4">
      <c r="A207" s="60"/>
      <c r="B207" s="69"/>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5.75" customHeight="1" x14ac:dyDescent="0.4">
      <c r="A208" s="60"/>
      <c r="B208" s="69"/>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5.75" customHeight="1" x14ac:dyDescent="0.4">
      <c r="A209" s="60"/>
      <c r="B209" s="69"/>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5.75" customHeight="1" x14ac:dyDescent="0.4">
      <c r="A210" s="60"/>
      <c r="B210" s="69"/>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5.75" customHeight="1" x14ac:dyDescent="0.4">
      <c r="A211" s="60"/>
      <c r="B211" s="69"/>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5.75" customHeight="1" x14ac:dyDescent="0.4">
      <c r="A212" s="60"/>
      <c r="B212" s="69"/>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5.75" customHeight="1" x14ac:dyDescent="0.4">
      <c r="A213" s="60"/>
      <c r="B213" s="69"/>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5.75" customHeight="1" x14ac:dyDescent="0.4">
      <c r="A214" s="60"/>
      <c r="B214" s="69"/>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5.75" customHeight="1" x14ac:dyDescent="0.4">
      <c r="A215" s="60"/>
      <c r="B215" s="69"/>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5.75" customHeight="1" x14ac:dyDescent="0.4">
      <c r="A216" s="60"/>
      <c r="B216" s="69"/>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5.75" customHeight="1" x14ac:dyDescent="0.4">
      <c r="A217" s="60"/>
      <c r="B217" s="69"/>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5.75" customHeight="1" x14ac:dyDescent="0.4">
      <c r="A218" s="60"/>
      <c r="B218" s="69"/>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5.75" customHeight="1" x14ac:dyDescent="0.4">
      <c r="A219" s="60"/>
      <c r="B219" s="69"/>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5.75" customHeight="1" x14ac:dyDescent="0.4">
      <c r="A220" s="60"/>
      <c r="B220" s="69"/>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5.75" customHeight="1" x14ac:dyDescent="0.4">
      <c r="A221" s="60"/>
      <c r="B221" s="69"/>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5.75" customHeight="1" x14ac:dyDescent="0.4">
      <c r="A222" s="60"/>
      <c r="B222" s="69"/>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5.75" customHeight="1" x14ac:dyDescent="0.4">
      <c r="A223" s="60"/>
      <c r="B223" s="69"/>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5.75" customHeight="1" x14ac:dyDescent="0.4">
      <c r="A224" s="60"/>
      <c r="B224" s="69"/>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5.75" customHeight="1" x14ac:dyDescent="0.4">
      <c r="A225" s="60"/>
      <c r="B225" s="69"/>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5.75" customHeight="1" x14ac:dyDescent="0.4">
      <c r="A226" s="60"/>
      <c r="B226" s="69"/>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5.75" customHeight="1" x14ac:dyDescent="0.4">
      <c r="A227" s="60"/>
      <c r="B227" s="69"/>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5.75" customHeight="1" x14ac:dyDescent="0.4">
      <c r="A228" s="60"/>
      <c r="B228" s="69"/>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5.75" customHeight="1" x14ac:dyDescent="0.4">
      <c r="A229" s="60"/>
      <c r="B229" s="69"/>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5.75" customHeight="1" x14ac:dyDescent="0.4">
      <c r="A230" s="60"/>
      <c r="B230" s="69"/>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5.75" customHeight="1" x14ac:dyDescent="0.4">
      <c r="A231" s="60"/>
      <c r="B231" s="69"/>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5.75" customHeight="1" x14ac:dyDescent="0.4">
      <c r="A232" s="60"/>
      <c r="B232" s="69"/>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5.75" customHeight="1" x14ac:dyDescent="0.4">
      <c r="A233" s="60"/>
      <c r="B233" s="69"/>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5.75" customHeight="1" x14ac:dyDescent="0.4">
      <c r="A234" s="60"/>
      <c r="B234" s="69"/>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5.75" customHeight="1" x14ac:dyDescent="0.4">
      <c r="A235" s="60"/>
      <c r="B235" s="69"/>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5.75" customHeight="1" x14ac:dyDescent="0.4">
      <c r="A236" s="60"/>
      <c r="B236" s="69"/>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5.75" customHeight="1" x14ac:dyDescent="0.4">
      <c r="A237" s="60"/>
      <c r="B237" s="69"/>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5.75" customHeight="1" x14ac:dyDescent="0.4">
      <c r="A238" s="60"/>
      <c r="B238" s="69"/>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5.75" customHeight="1" x14ac:dyDescent="0.4">
      <c r="A239" s="60"/>
      <c r="B239" s="69"/>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5.75" customHeight="1" x14ac:dyDescent="0.4">
      <c r="A240" s="60"/>
      <c r="B240" s="69"/>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5.75" customHeight="1" x14ac:dyDescent="0.4">
      <c r="A241" s="60"/>
      <c r="B241" s="69"/>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5.75" customHeight="1" x14ac:dyDescent="0.4">
      <c r="A242" s="60"/>
      <c r="B242" s="69"/>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5.75" customHeight="1" x14ac:dyDescent="0.4">
      <c r="A243" s="60"/>
      <c r="B243" s="69"/>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5.75" customHeight="1" x14ac:dyDescent="0.4">
      <c r="A244" s="60"/>
      <c r="B244" s="69"/>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5.75" customHeight="1" x14ac:dyDescent="0.4">
      <c r="A245" s="60"/>
      <c r="B245" s="69"/>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5.75" customHeight="1" x14ac:dyDescent="0.4">
      <c r="A246" s="60"/>
      <c r="B246" s="69"/>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5.75" customHeight="1" x14ac:dyDescent="0.4">
      <c r="A247" s="60"/>
      <c r="B247" s="69"/>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5.75" customHeight="1" x14ac:dyDescent="0.4">
      <c r="A248" s="60"/>
      <c r="B248" s="69"/>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5.75" customHeight="1" x14ac:dyDescent="0.4">
      <c r="A249" s="60"/>
      <c r="B249" s="69"/>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5.75" customHeight="1" x14ac:dyDescent="0.4">
      <c r="A250" s="60"/>
      <c r="B250" s="69"/>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5.75" customHeight="1" x14ac:dyDescent="0.4">
      <c r="A251" s="60"/>
      <c r="B251" s="69"/>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5.75" customHeight="1" x14ac:dyDescent="0.4">
      <c r="A252" s="60"/>
      <c r="B252" s="69"/>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5.75" customHeight="1" x14ac:dyDescent="0.4">
      <c r="A253" s="60"/>
      <c r="B253" s="69"/>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5.75" customHeight="1" x14ac:dyDescent="0.4">
      <c r="A254" s="60"/>
      <c r="B254" s="69"/>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5.75" customHeight="1" x14ac:dyDescent="0.4">
      <c r="A255" s="60"/>
      <c r="B255" s="69"/>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5.75" customHeight="1" x14ac:dyDescent="0.4">
      <c r="A256" s="60"/>
      <c r="B256" s="69"/>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5.75" customHeight="1" x14ac:dyDescent="0.4">
      <c r="A257" s="60"/>
      <c r="B257" s="69"/>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5.75" customHeight="1" x14ac:dyDescent="0.4">
      <c r="A258" s="60"/>
      <c r="B258" s="69"/>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5.75" customHeight="1" x14ac:dyDescent="0.4">
      <c r="A259" s="60"/>
      <c r="B259" s="69"/>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5.75" customHeight="1" x14ac:dyDescent="0.4">
      <c r="A260" s="60"/>
      <c r="B260" s="69"/>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5.75" customHeight="1" x14ac:dyDescent="0.4">
      <c r="A261" s="60"/>
      <c r="B261" s="69"/>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5.75" customHeight="1" x14ac:dyDescent="0.4">
      <c r="A262" s="60"/>
      <c r="B262" s="69"/>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5.75" customHeight="1" x14ac:dyDescent="0.4">
      <c r="A263" s="60"/>
      <c r="B263" s="69"/>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5.75" customHeight="1" x14ac:dyDescent="0.4">
      <c r="A264" s="60"/>
      <c r="B264" s="69"/>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5.75" customHeight="1" x14ac:dyDescent="0.4">
      <c r="A265" s="60"/>
      <c r="B265" s="69"/>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5.75" customHeight="1" x14ac:dyDescent="0.4">
      <c r="A266" s="60"/>
      <c r="B266" s="69"/>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5.75" customHeight="1" x14ac:dyDescent="0.4">
      <c r="A267" s="60"/>
      <c r="B267" s="69"/>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5.75" customHeight="1" x14ac:dyDescent="0.4">
      <c r="A268" s="60"/>
      <c r="B268" s="69"/>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5.75" customHeight="1" x14ac:dyDescent="0.4">
      <c r="A269" s="60"/>
      <c r="B269" s="69"/>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5.75" customHeight="1" x14ac:dyDescent="0.4">
      <c r="A270" s="60"/>
      <c r="B270" s="69"/>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5.75" customHeight="1" x14ac:dyDescent="0.4">
      <c r="A271" s="60"/>
      <c r="B271" s="69"/>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5.75" customHeight="1" x14ac:dyDescent="0.4">
      <c r="A272" s="60"/>
      <c r="B272" s="69"/>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5.75" customHeight="1" x14ac:dyDescent="0.4">
      <c r="A273" s="60"/>
      <c r="B273" s="69"/>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5.75" customHeight="1" x14ac:dyDescent="0.4">
      <c r="A274" s="60"/>
      <c r="B274" s="69"/>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5.75" customHeight="1" x14ac:dyDescent="0.4">
      <c r="A275" s="60"/>
      <c r="B275" s="69"/>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5.75" customHeight="1" x14ac:dyDescent="0.4">
      <c r="A276" s="60"/>
      <c r="B276" s="69"/>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5.75" customHeight="1" x14ac:dyDescent="0.4">
      <c r="A277" s="60"/>
      <c r="B277" s="69"/>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5.75" customHeight="1" x14ac:dyDescent="0.4">
      <c r="A278" s="60"/>
      <c r="B278" s="69"/>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5.75" customHeight="1" x14ac:dyDescent="0.4">
      <c r="A279" s="60"/>
      <c r="B279" s="69"/>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5.75" customHeight="1" x14ac:dyDescent="0.4">
      <c r="A280" s="60"/>
      <c r="B280" s="69"/>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5.75" customHeight="1" x14ac:dyDescent="0.4">
      <c r="A281" s="60"/>
      <c r="B281" s="69"/>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5.75" customHeight="1" x14ac:dyDescent="0.4">
      <c r="A282" s="60"/>
      <c r="B282" s="69"/>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5.75" customHeight="1" x14ac:dyDescent="0.4">
      <c r="A283" s="60"/>
      <c r="B283" s="69"/>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5.75" customHeight="1" x14ac:dyDescent="0.4">
      <c r="A284" s="60"/>
      <c r="B284" s="69"/>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5.75" customHeight="1" x14ac:dyDescent="0.4">
      <c r="A285" s="60"/>
      <c r="B285" s="69"/>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5.75" customHeight="1" x14ac:dyDescent="0.4">
      <c r="A286" s="60"/>
      <c r="B286" s="69"/>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5.75" customHeight="1" x14ac:dyDescent="0.4">
      <c r="A287" s="60"/>
      <c r="B287" s="69"/>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5.75" customHeight="1" x14ac:dyDescent="0.4">
      <c r="A288" s="60"/>
      <c r="B288" s="69"/>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5.75" customHeight="1" x14ac:dyDescent="0.4">
      <c r="A289" s="60"/>
      <c r="B289" s="69"/>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5.75" customHeight="1" x14ac:dyDescent="0.4">
      <c r="A290" s="60"/>
      <c r="B290" s="69"/>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5.75" customHeight="1" x14ac:dyDescent="0.4">
      <c r="A291" s="60"/>
      <c r="B291" s="69"/>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5.75" customHeight="1" x14ac:dyDescent="0.4">
      <c r="A292" s="60"/>
      <c r="B292" s="69"/>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5.75" customHeight="1" x14ac:dyDescent="0.4">
      <c r="A293" s="60"/>
      <c r="B293" s="69"/>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5.75" customHeight="1" x14ac:dyDescent="0.4">
      <c r="A294" s="60"/>
      <c r="B294" s="69"/>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5.75" customHeight="1" x14ac:dyDescent="0.4">
      <c r="A295" s="60"/>
      <c r="B295" s="69"/>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5.75" customHeight="1" x14ac:dyDescent="0.4">
      <c r="A296" s="60"/>
      <c r="B296" s="69"/>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5.75" customHeight="1" x14ac:dyDescent="0.4">
      <c r="A297" s="60"/>
      <c r="B297" s="69"/>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5.75" customHeight="1" x14ac:dyDescent="0.4">
      <c r="A298" s="60"/>
      <c r="B298" s="69"/>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5.75" customHeight="1" x14ac:dyDescent="0.4">
      <c r="A299" s="60"/>
      <c r="B299" s="69"/>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5.75" customHeight="1" x14ac:dyDescent="0.4">
      <c r="A300" s="60"/>
      <c r="B300" s="69"/>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5.75" customHeight="1" x14ac:dyDescent="0.4">
      <c r="A301" s="60"/>
      <c r="B301" s="69"/>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5.75" customHeight="1" x14ac:dyDescent="0.4">
      <c r="A302" s="60"/>
      <c r="B302" s="69"/>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5.75" customHeight="1" x14ac:dyDescent="0.4">
      <c r="A303" s="60"/>
      <c r="B303" s="69"/>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5.75" customHeight="1" x14ac:dyDescent="0.4">
      <c r="A304" s="60"/>
      <c r="B304" s="69"/>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5.75" customHeight="1" x14ac:dyDescent="0.4">
      <c r="A305" s="60"/>
      <c r="B305" s="69"/>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5.75" customHeight="1" x14ac:dyDescent="0.4">
      <c r="A306" s="60"/>
      <c r="B306" s="69"/>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5.75" customHeight="1" x14ac:dyDescent="0.4">
      <c r="A307" s="60"/>
      <c r="B307" s="69"/>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5.75" customHeight="1" x14ac:dyDescent="0.4">
      <c r="A308" s="60"/>
      <c r="B308" s="69"/>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5.75" customHeight="1" x14ac:dyDescent="0.4">
      <c r="A309" s="60"/>
      <c r="B309" s="69"/>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5.75" customHeight="1" x14ac:dyDescent="0.4">
      <c r="A310" s="60"/>
      <c r="B310" s="69"/>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5.75" customHeight="1" x14ac:dyDescent="0.4">
      <c r="A311" s="60"/>
      <c r="B311" s="69"/>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5.75" customHeight="1" x14ac:dyDescent="0.4">
      <c r="A312" s="60"/>
      <c r="B312" s="69"/>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5.75" customHeight="1" x14ac:dyDescent="0.4">
      <c r="A313" s="60"/>
      <c r="B313" s="69"/>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5.75" customHeight="1" x14ac:dyDescent="0.4">
      <c r="A314" s="60"/>
      <c r="B314" s="69"/>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5.75" customHeight="1" x14ac:dyDescent="0.4">
      <c r="A315" s="60"/>
      <c r="B315" s="69"/>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5.75" customHeight="1" x14ac:dyDescent="0.4">
      <c r="A316" s="60"/>
      <c r="B316" s="69"/>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5.75" customHeight="1" x14ac:dyDescent="0.4">
      <c r="A317" s="60"/>
      <c r="B317" s="69"/>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5.75" customHeight="1" x14ac:dyDescent="0.4">
      <c r="A318" s="60"/>
      <c r="B318" s="69"/>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5.75" customHeight="1" x14ac:dyDescent="0.4">
      <c r="A319" s="60"/>
      <c r="B319" s="69"/>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5.75" customHeight="1" x14ac:dyDescent="0.4">
      <c r="A320" s="60"/>
      <c r="B320" s="69"/>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5.75" customHeight="1" x14ac:dyDescent="0.4">
      <c r="A321" s="60"/>
      <c r="B321" s="69"/>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5.75" customHeight="1" x14ac:dyDescent="0.4">
      <c r="A322" s="60"/>
      <c r="B322" s="69"/>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5.75" customHeight="1" x14ac:dyDescent="0.4">
      <c r="A323" s="60"/>
      <c r="B323" s="69"/>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5.75" customHeight="1" x14ac:dyDescent="0.4">
      <c r="A324" s="60"/>
      <c r="B324" s="69"/>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5.75" customHeight="1" x14ac:dyDescent="0.4">
      <c r="A325" s="60"/>
      <c r="B325" s="69"/>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5.75" customHeight="1" x14ac:dyDescent="0.4">
      <c r="A326" s="60"/>
      <c r="B326" s="69"/>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5.75" customHeight="1" x14ac:dyDescent="0.4">
      <c r="A327" s="60"/>
      <c r="B327" s="69"/>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5.75" customHeight="1" x14ac:dyDescent="0.4">
      <c r="A328" s="60"/>
      <c r="B328" s="69"/>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5.75" customHeight="1" x14ac:dyDescent="0.4">
      <c r="A329" s="60"/>
      <c r="B329" s="69"/>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5.75" customHeight="1" x14ac:dyDescent="0.4">
      <c r="A330" s="60"/>
      <c r="B330" s="69"/>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5.75" customHeight="1" x14ac:dyDescent="0.4">
      <c r="A331" s="60"/>
      <c r="B331" s="69"/>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5.75" customHeight="1" x14ac:dyDescent="0.4">
      <c r="A332" s="60"/>
      <c r="B332" s="69"/>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5.75" customHeight="1" x14ac:dyDescent="0.4">
      <c r="A333" s="60"/>
      <c r="B333" s="69"/>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5.75" customHeight="1" x14ac:dyDescent="0.4">
      <c r="A334" s="60"/>
      <c r="B334" s="69"/>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5.75" customHeight="1" x14ac:dyDescent="0.4">
      <c r="A335" s="60"/>
      <c r="B335" s="69"/>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5.75" customHeight="1" x14ac:dyDescent="0.4">
      <c r="A336" s="60"/>
      <c r="B336" s="69"/>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5.75" customHeight="1" x14ac:dyDescent="0.4">
      <c r="A337" s="60"/>
      <c r="B337" s="69"/>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5.75" customHeight="1" x14ac:dyDescent="0.4">
      <c r="A338" s="60"/>
      <c r="B338" s="69"/>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5.75" customHeight="1" x14ac:dyDescent="0.4">
      <c r="A339" s="60"/>
      <c r="B339" s="69"/>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5.75" customHeight="1" x14ac:dyDescent="0.4">
      <c r="A340" s="60"/>
      <c r="B340" s="69"/>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5.75" customHeight="1" x14ac:dyDescent="0.4">
      <c r="A341" s="60"/>
      <c r="B341" s="69"/>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5.75" customHeight="1" x14ac:dyDescent="0.4">
      <c r="A342" s="60"/>
      <c r="B342" s="69"/>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5.75" customHeight="1" x14ac:dyDescent="0.4">
      <c r="A343" s="60"/>
      <c r="B343" s="69"/>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5.75" customHeight="1" x14ac:dyDescent="0.4">
      <c r="A344" s="60"/>
      <c r="B344" s="69"/>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5.75" customHeight="1" x14ac:dyDescent="0.4">
      <c r="A345" s="60"/>
      <c r="B345" s="69"/>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5.75" customHeight="1" x14ac:dyDescent="0.4">
      <c r="A346" s="60"/>
      <c r="B346" s="69"/>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5.75" customHeight="1" x14ac:dyDescent="0.4">
      <c r="A347" s="60"/>
      <c r="B347" s="69"/>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5.75" customHeight="1" x14ac:dyDescent="0.4">
      <c r="A348" s="60"/>
      <c r="B348" s="69"/>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5.75" customHeight="1" x14ac:dyDescent="0.4">
      <c r="A349" s="60"/>
      <c r="B349" s="69"/>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5.75" customHeight="1" x14ac:dyDescent="0.4">
      <c r="A350" s="60"/>
      <c r="B350" s="69"/>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5.75" customHeight="1" x14ac:dyDescent="0.4">
      <c r="A351" s="60"/>
      <c r="B351" s="69"/>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5.75" customHeight="1" x14ac:dyDescent="0.4">
      <c r="A352" s="60"/>
      <c r="B352" s="69"/>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5.75" customHeight="1" x14ac:dyDescent="0.4">
      <c r="A353" s="60"/>
      <c r="B353" s="69"/>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5.75" customHeight="1" x14ac:dyDescent="0.4">
      <c r="A354" s="60"/>
      <c r="B354" s="69"/>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5.75" customHeight="1" x14ac:dyDescent="0.4">
      <c r="A355" s="60"/>
      <c r="B355" s="69"/>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5.75" customHeight="1" x14ac:dyDescent="0.4">
      <c r="A356" s="60"/>
      <c r="B356" s="69"/>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5.75" customHeight="1" x14ac:dyDescent="0.4">
      <c r="A357" s="60"/>
      <c r="B357" s="69"/>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5.75" customHeight="1" x14ac:dyDescent="0.4">
      <c r="A358" s="60"/>
      <c r="B358" s="69"/>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5.75" customHeight="1" x14ac:dyDescent="0.4">
      <c r="A359" s="60"/>
      <c r="B359" s="69"/>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5.75" customHeight="1" x14ac:dyDescent="0.4">
      <c r="A360" s="60"/>
      <c r="B360" s="69"/>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5.75" customHeight="1" x14ac:dyDescent="0.4">
      <c r="A361" s="60"/>
      <c r="B361" s="69"/>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5.75" customHeight="1" x14ac:dyDescent="0.4">
      <c r="A362" s="60"/>
      <c r="B362" s="69"/>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5.75" customHeight="1" x14ac:dyDescent="0.4">
      <c r="A363" s="60"/>
      <c r="B363" s="69"/>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5.75" customHeight="1" x14ac:dyDescent="0.4">
      <c r="A364" s="60"/>
      <c r="B364" s="69"/>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5.75" customHeight="1" x14ac:dyDescent="0.4">
      <c r="A365" s="60"/>
      <c r="B365" s="69"/>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5.75" customHeight="1" x14ac:dyDescent="0.4">
      <c r="A366" s="60"/>
      <c r="B366" s="69"/>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5.75" customHeight="1" x14ac:dyDescent="0.4">
      <c r="A367" s="60"/>
      <c r="B367" s="69"/>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5.75" customHeight="1" x14ac:dyDescent="0.4">
      <c r="A368" s="60"/>
      <c r="B368" s="69"/>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5.75" customHeight="1" x14ac:dyDescent="0.4">
      <c r="A369" s="60"/>
      <c r="B369" s="69"/>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5.75" customHeight="1" x14ac:dyDescent="0.4">
      <c r="A370" s="60"/>
      <c r="B370" s="69"/>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5.75" customHeight="1" x14ac:dyDescent="0.4">
      <c r="A371" s="60"/>
      <c r="B371" s="69"/>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5.75" customHeight="1" x14ac:dyDescent="0.4">
      <c r="A372" s="60"/>
      <c r="B372" s="69"/>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5.75" customHeight="1" x14ac:dyDescent="0.4">
      <c r="A373" s="60"/>
      <c r="B373" s="69"/>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5.75" customHeight="1" x14ac:dyDescent="0.4">
      <c r="A374" s="60"/>
      <c r="B374" s="69"/>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5.75" customHeight="1" x14ac:dyDescent="0.4">
      <c r="A375" s="60"/>
      <c r="B375" s="69"/>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5.75" customHeight="1" x14ac:dyDescent="0.4">
      <c r="A376" s="60"/>
      <c r="B376" s="69"/>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5.75" customHeight="1" x14ac:dyDescent="0.4">
      <c r="A377" s="60"/>
      <c r="B377" s="69"/>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5.75" customHeight="1" x14ac:dyDescent="0.4">
      <c r="A378" s="60"/>
      <c r="B378" s="69"/>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5.75" customHeight="1" x14ac:dyDescent="0.4">
      <c r="A379" s="60"/>
      <c r="B379" s="69"/>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5.75" customHeight="1" x14ac:dyDescent="0.4">
      <c r="A380" s="60"/>
      <c r="B380" s="69"/>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5.75" customHeight="1" x14ac:dyDescent="0.4">
      <c r="A381" s="60"/>
      <c r="B381" s="69"/>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5.75" customHeight="1" x14ac:dyDescent="0.4">
      <c r="A382" s="60"/>
      <c r="B382" s="69"/>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5.75" customHeight="1" x14ac:dyDescent="0.4">
      <c r="A383" s="60"/>
      <c r="B383" s="69"/>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5.75" customHeight="1" x14ac:dyDescent="0.4">
      <c r="A384" s="60"/>
      <c r="B384" s="69"/>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5.75" customHeight="1" x14ac:dyDescent="0.4">
      <c r="A385" s="60"/>
      <c r="B385" s="69"/>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5.75" customHeight="1" x14ac:dyDescent="0.4">
      <c r="A386" s="60"/>
      <c r="B386" s="69"/>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5.75" customHeight="1" x14ac:dyDescent="0.4">
      <c r="A387" s="60"/>
      <c r="B387" s="69"/>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5.75" customHeight="1" x14ac:dyDescent="0.4">
      <c r="A388" s="60"/>
      <c r="B388" s="69"/>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5.75" customHeight="1" x14ac:dyDescent="0.4">
      <c r="A389" s="60"/>
      <c r="B389" s="69"/>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5.75" customHeight="1" x14ac:dyDescent="0.4">
      <c r="A390" s="60"/>
      <c r="B390" s="69"/>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5.75" customHeight="1" x14ac:dyDescent="0.4">
      <c r="A391" s="60"/>
      <c r="B391" s="69"/>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5.75" customHeight="1" x14ac:dyDescent="0.4">
      <c r="A392" s="60"/>
      <c r="B392" s="69"/>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5.75" customHeight="1" x14ac:dyDescent="0.4">
      <c r="A393" s="60"/>
      <c r="B393" s="69"/>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5.75" customHeight="1" x14ac:dyDescent="0.4">
      <c r="A394" s="60"/>
      <c r="B394" s="69"/>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5.75" customHeight="1" x14ac:dyDescent="0.4">
      <c r="A395" s="60"/>
      <c r="B395" s="69"/>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5.75" customHeight="1" x14ac:dyDescent="0.4">
      <c r="A396" s="60"/>
      <c r="B396" s="69"/>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5.75" customHeight="1" x14ac:dyDescent="0.4">
      <c r="A397" s="60"/>
      <c r="B397" s="69"/>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5.75" customHeight="1" x14ac:dyDescent="0.4">
      <c r="A398" s="60"/>
      <c r="B398" s="69"/>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5.75" customHeight="1" x14ac:dyDescent="0.4">
      <c r="A399" s="60"/>
      <c r="B399" s="69"/>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5.75" customHeight="1" x14ac:dyDescent="0.4">
      <c r="A400" s="60"/>
      <c r="B400" s="69"/>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5.75" customHeight="1" x14ac:dyDescent="0.4">
      <c r="A401" s="60"/>
      <c r="B401" s="69"/>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5.75" customHeight="1" x14ac:dyDescent="0.4">
      <c r="A402" s="60"/>
      <c r="B402" s="69"/>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5.75" customHeight="1" x14ac:dyDescent="0.4">
      <c r="A403" s="60"/>
      <c r="B403" s="69"/>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5.75" customHeight="1" x14ac:dyDescent="0.4">
      <c r="A404" s="60"/>
      <c r="B404" s="69"/>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5.75" customHeight="1" x14ac:dyDescent="0.4">
      <c r="A405" s="60"/>
      <c r="B405" s="69"/>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5.75" customHeight="1" x14ac:dyDescent="0.4">
      <c r="A406" s="60"/>
      <c r="B406" s="69"/>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5.75" customHeight="1" x14ac:dyDescent="0.4">
      <c r="A407" s="60"/>
      <c r="B407" s="69"/>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5.75" customHeight="1" x14ac:dyDescent="0.4">
      <c r="A408" s="60"/>
      <c r="B408" s="69"/>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5.75" customHeight="1" x14ac:dyDescent="0.4">
      <c r="A409" s="60"/>
      <c r="B409" s="69"/>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5.75" customHeight="1" x14ac:dyDescent="0.4">
      <c r="A410" s="60"/>
      <c r="B410" s="69"/>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5.75" customHeight="1" x14ac:dyDescent="0.4">
      <c r="A411" s="60"/>
      <c r="B411" s="69"/>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5.75" customHeight="1" x14ac:dyDescent="0.4">
      <c r="A412" s="60"/>
      <c r="B412" s="69"/>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5.75" customHeight="1" x14ac:dyDescent="0.4">
      <c r="A413" s="60"/>
      <c r="B413" s="69"/>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5.75" customHeight="1" x14ac:dyDescent="0.4">
      <c r="A414" s="60"/>
      <c r="B414" s="69"/>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5.75" customHeight="1" x14ac:dyDescent="0.4">
      <c r="A415" s="60"/>
      <c r="B415" s="69"/>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5.75" customHeight="1" x14ac:dyDescent="0.4">
      <c r="A416" s="60"/>
      <c r="B416" s="69"/>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5.75" customHeight="1" x14ac:dyDescent="0.4">
      <c r="A417" s="60"/>
      <c r="B417" s="69"/>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5.75" customHeight="1" x14ac:dyDescent="0.4">
      <c r="A418" s="60"/>
      <c r="B418" s="69"/>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5.75" customHeight="1" x14ac:dyDescent="0.4">
      <c r="A419" s="60"/>
      <c r="B419" s="69"/>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5.75" customHeight="1" x14ac:dyDescent="0.4">
      <c r="A420" s="60"/>
      <c r="B420" s="69"/>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5.75" customHeight="1" x14ac:dyDescent="0.4">
      <c r="A421" s="60"/>
      <c r="B421" s="69"/>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5.75" customHeight="1" x14ac:dyDescent="0.4">
      <c r="A422" s="60"/>
      <c r="B422" s="69"/>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5.75" customHeight="1" x14ac:dyDescent="0.4">
      <c r="A423" s="60"/>
      <c r="B423" s="69"/>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5.75" customHeight="1" x14ac:dyDescent="0.4">
      <c r="A424" s="60"/>
      <c r="B424" s="69"/>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5.75" customHeight="1" x14ac:dyDescent="0.4">
      <c r="A425" s="60"/>
      <c r="B425" s="69"/>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5.75" customHeight="1" x14ac:dyDescent="0.4">
      <c r="A426" s="60"/>
      <c r="B426" s="69"/>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5.75" customHeight="1" x14ac:dyDescent="0.4">
      <c r="A427" s="60"/>
      <c r="B427" s="69"/>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5.75" customHeight="1" x14ac:dyDescent="0.4">
      <c r="A428" s="60"/>
      <c r="B428" s="69"/>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5.75" customHeight="1" x14ac:dyDescent="0.4">
      <c r="A429" s="60"/>
      <c r="B429" s="69"/>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5.75" customHeight="1" x14ac:dyDescent="0.4">
      <c r="A430" s="60"/>
      <c r="B430" s="69"/>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5.75" customHeight="1" x14ac:dyDescent="0.4">
      <c r="A431" s="60"/>
      <c r="B431" s="69"/>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5.75" customHeight="1" x14ac:dyDescent="0.4">
      <c r="A432" s="60"/>
      <c r="B432" s="69"/>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5.75" customHeight="1" x14ac:dyDescent="0.4">
      <c r="A433" s="60"/>
      <c r="B433" s="69"/>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5.75" customHeight="1" x14ac:dyDescent="0.4">
      <c r="A434" s="60"/>
      <c r="B434" s="69"/>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5.75" customHeight="1" x14ac:dyDescent="0.4">
      <c r="A435" s="60"/>
      <c r="B435" s="69"/>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5.75" customHeight="1" x14ac:dyDescent="0.4">
      <c r="A436" s="60"/>
      <c r="B436" s="69"/>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5.75" customHeight="1" x14ac:dyDescent="0.4">
      <c r="A437" s="60"/>
      <c r="B437" s="69"/>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5.75" customHeight="1" x14ac:dyDescent="0.4">
      <c r="A438" s="60"/>
      <c r="B438" s="69"/>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5.75" customHeight="1" x14ac:dyDescent="0.4">
      <c r="A439" s="60"/>
      <c r="B439" s="69"/>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5.75" customHeight="1" x14ac:dyDescent="0.4">
      <c r="A440" s="60"/>
      <c r="B440" s="69"/>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5.75" customHeight="1" x14ac:dyDescent="0.4">
      <c r="A441" s="60"/>
      <c r="B441" s="69"/>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5.75" customHeight="1" x14ac:dyDescent="0.4">
      <c r="A442" s="60"/>
      <c r="B442" s="69"/>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5.75" customHeight="1" x14ac:dyDescent="0.4">
      <c r="A443" s="60"/>
      <c r="B443" s="69"/>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5.75" customHeight="1" x14ac:dyDescent="0.4">
      <c r="A444" s="60"/>
      <c r="B444" s="69"/>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5.75" customHeight="1" x14ac:dyDescent="0.4">
      <c r="A445" s="60"/>
      <c r="B445" s="69"/>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5.75" customHeight="1" x14ac:dyDescent="0.4">
      <c r="A446" s="60"/>
      <c r="B446" s="69"/>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5.75" customHeight="1" x14ac:dyDescent="0.4">
      <c r="A447" s="60"/>
      <c r="B447" s="69"/>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5.75" customHeight="1" x14ac:dyDescent="0.4">
      <c r="A448" s="60"/>
      <c r="B448" s="69"/>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5.75" customHeight="1" x14ac:dyDescent="0.4">
      <c r="A449" s="60"/>
      <c r="B449" s="69"/>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5.75" customHeight="1" x14ac:dyDescent="0.4">
      <c r="A450" s="60"/>
      <c r="B450" s="69"/>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5.75" customHeight="1" x14ac:dyDescent="0.4">
      <c r="A451" s="60"/>
      <c r="B451" s="69"/>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5.75" customHeight="1" x14ac:dyDescent="0.4">
      <c r="A452" s="60"/>
      <c r="B452" s="69"/>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5.75" customHeight="1" x14ac:dyDescent="0.4">
      <c r="A453" s="60"/>
      <c r="B453" s="69"/>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5.75" customHeight="1" x14ac:dyDescent="0.4">
      <c r="A454" s="60"/>
      <c r="B454" s="69"/>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5.75" customHeight="1" x14ac:dyDescent="0.4">
      <c r="A455" s="60"/>
      <c r="B455" s="69"/>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5.75" customHeight="1" x14ac:dyDescent="0.4">
      <c r="A456" s="60"/>
      <c r="B456" s="69"/>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5.75" customHeight="1" x14ac:dyDescent="0.4">
      <c r="A457" s="60"/>
      <c r="B457" s="69"/>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5.75" customHeight="1" x14ac:dyDescent="0.4">
      <c r="A458" s="60"/>
      <c r="B458" s="69"/>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5.75" customHeight="1" x14ac:dyDescent="0.4">
      <c r="A459" s="60"/>
      <c r="B459" s="69"/>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5.75" customHeight="1" x14ac:dyDescent="0.4">
      <c r="A460" s="60"/>
      <c r="B460" s="69"/>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5.75" customHeight="1" x14ac:dyDescent="0.4">
      <c r="A461" s="60"/>
      <c r="B461" s="69"/>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5.75" customHeight="1" x14ac:dyDescent="0.4">
      <c r="A462" s="60"/>
      <c r="B462" s="69"/>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5.75" customHeight="1" x14ac:dyDescent="0.4">
      <c r="A463" s="60"/>
      <c r="B463" s="69"/>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5.75" customHeight="1" x14ac:dyDescent="0.4">
      <c r="A464" s="60"/>
      <c r="B464" s="69"/>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5.75" customHeight="1" x14ac:dyDescent="0.4">
      <c r="A465" s="60"/>
      <c r="B465" s="69"/>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5.75" customHeight="1" x14ac:dyDescent="0.4">
      <c r="A466" s="60"/>
      <c r="B466" s="69"/>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5.75" customHeight="1" x14ac:dyDescent="0.4">
      <c r="A467" s="60"/>
      <c r="B467" s="69"/>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5.75" customHeight="1" x14ac:dyDescent="0.4">
      <c r="A468" s="60"/>
      <c r="B468" s="69"/>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5.75" customHeight="1" x14ac:dyDescent="0.4">
      <c r="A469" s="60"/>
      <c r="B469" s="69"/>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5.75" customHeight="1" x14ac:dyDescent="0.4">
      <c r="A470" s="60"/>
      <c r="B470" s="69"/>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5.75" customHeight="1" x14ac:dyDescent="0.4">
      <c r="A471" s="60"/>
      <c r="B471" s="69"/>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5.75" customHeight="1" x14ac:dyDescent="0.4">
      <c r="A472" s="60"/>
      <c r="B472" s="69"/>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5.75" customHeight="1" x14ac:dyDescent="0.4">
      <c r="A473" s="60"/>
      <c r="B473" s="69"/>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5.75" customHeight="1" x14ac:dyDescent="0.4">
      <c r="A474" s="60"/>
      <c r="B474" s="69"/>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5.75" customHeight="1" x14ac:dyDescent="0.4">
      <c r="A475" s="60"/>
      <c r="B475" s="69"/>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5.75" customHeight="1" x14ac:dyDescent="0.4">
      <c r="A476" s="60"/>
      <c r="B476" s="69"/>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5.75" customHeight="1" x14ac:dyDescent="0.4">
      <c r="A477" s="60"/>
      <c r="B477" s="69"/>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5.75" customHeight="1" x14ac:dyDescent="0.4">
      <c r="A478" s="60"/>
      <c r="B478" s="69"/>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5.75" customHeight="1" x14ac:dyDescent="0.4">
      <c r="A479" s="60"/>
      <c r="B479" s="69"/>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5.75" customHeight="1" x14ac:dyDescent="0.4">
      <c r="A480" s="60"/>
      <c r="B480" s="69"/>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5.75" customHeight="1" x14ac:dyDescent="0.4">
      <c r="A481" s="60"/>
      <c r="B481" s="69"/>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5.75" customHeight="1" x14ac:dyDescent="0.4">
      <c r="A482" s="60"/>
      <c r="B482" s="69"/>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5.75" customHeight="1" x14ac:dyDescent="0.4">
      <c r="A483" s="60"/>
      <c r="B483" s="69"/>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5.75" customHeight="1" x14ac:dyDescent="0.4">
      <c r="A484" s="60"/>
      <c r="B484" s="69"/>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5.75" customHeight="1" x14ac:dyDescent="0.4">
      <c r="A485" s="60"/>
      <c r="B485" s="69"/>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5.75" customHeight="1" x14ac:dyDescent="0.4">
      <c r="A486" s="60"/>
      <c r="B486" s="69"/>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5.75" customHeight="1" x14ac:dyDescent="0.4">
      <c r="A487" s="60"/>
      <c r="B487" s="69"/>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5.75" customHeight="1" x14ac:dyDescent="0.4">
      <c r="A488" s="60"/>
      <c r="B488" s="69"/>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5.75" customHeight="1" x14ac:dyDescent="0.4">
      <c r="A489" s="60"/>
      <c r="B489" s="69"/>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5.75" customHeight="1" x14ac:dyDescent="0.4">
      <c r="A490" s="60"/>
      <c r="B490" s="69"/>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5.75" customHeight="1" x14ac:dyDescent="0.4">
      <c r="A491" s="60"/>
      <c r="B491" s="69"/>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5.75" customHeight="1" x14ac:dyDescent="0.4">
      <c r="A492" s="60"/>
      <c r="B492" s="69"/>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5.75" customHeight="1" x14ac:dyDescent="0.4">
      <c r="A493" s="60"/>
      <c r="B493" s="69"/>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5.75" customHeight="1" x14ac:dyDescent="0.4">
      <c r="A494" s="60"/>
      <c r="B494" s="69"/>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5.75" customHeight="1" x14ac:dyDescent="0.4">
      <c r="A495" s="60"/>
      <c r="B495" s="69"/>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5.75" customHeight="1" x14ac:dyDescent="0.4">
      <c r="A496" s="60"/>
      <c r="B496" s="69"/>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5.75" customHeight="1" x14ac:dyDescent="0.4">
      <c r="A497" s="60"/>
      <c r="B497" s="69"/>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5.75" customHeight="1" x14ac:dyDescent="0.4">
      <c r="A498" s="60"/>
      <c r="B498" s="69"/>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5.75" customHeight="1" x14ac:dyDescent="0.4">
      <c r="A499" s="60"/>
      <c r="B499" s="69"/>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5.75" customHeight="1" x14ac:dyDescent="0.4">
      <c r="A500" s="60"/>
      <c r="B500" s="69"/>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5.75" customHeight="1" x14ac:dyDescent="0.4">
      <c r="A501" s="60"/>
      <c r="B501" s="69"/>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5.75" customHeight="1" x14ac:dyDescent="0.4">
      <c r="A502" s="60"/>
      <c r="B502" s="69"/>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5.75" customHeight="1" x14ac:dyDescent="0.4">
      <c r="A503" s="60"/>
      <c r="B503" s="69"/>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5.75" customHeight="1" x14ac:dyDescent="0.4">
      <c r="A504" s="60"/>
      <c r="B504" s="69"/>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5.75" customHeight="1" x14ac:dyDescent="0.4">
      <c r="A505" s="60"/>
      <c r="B505" s="69"/>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5.75" customHeight="1" x14ac:dyDescent="0.4">
      <c r="A506" s="60"/>
      <c r="B506" s="69"/>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5.75" customHeight="1" x14ac:dyDescent="0.4">
      <c r="A507" s="60"/>
      <c r="B507" s="69"/>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5.75" customHeight="1" x14ac:dyDescent="0.4">
      <c r="A508" s="60"/>
      <c r="B508" s="69"/>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5.75" customHeight="1" x14ac:dyDescent="0.4">
      <c r="A509" s="60"/>
      <c r="B509" s="69"/>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5.75" customHeight="1" x14ac:dyDescent="0.4">
      <c r="A510" s="60"/>
      <c r="B510" s="69"/>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5.75" customHeight="1" x14ac:dyDescent="0.4">
      <c r="A511" s="60"/>
      <c r="B511" s="69"/>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5.75" customHeight="1" x14ac:dyDescent="0.4">
      <c r="A512" s="60"/>
      <c r="B512" s="69"/>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5.75" customHeight="1" x14ac:dyDescent="0.4">
      <c r="A513" s="60"/>
      <c r="B513" s="69"/>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5.75" customHeight="1" x14ac:dyDescent="0.4">
      <c r="A514" s="60"/>
      <c r="B514" s="69"/>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5.75" customHeight="1" x14ac:dyDescent="0.4">
      <c r="A515" s="60"/>
      <c r="B515" s="69"/>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5.75" customHeight="1" x14ac:dyDescent="0.4">
      <c r="A516" s="60"/>
      <c r="B516" s="69"/>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5.75" customHeight="1" x14ac:dyDescent="0.4">
      <c r="A517" s="60"/>
      <c r="B517" s="69"/>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5.75" customHeight="1" x14ac:dyDescent="0.4">
      <c r="A518" s="60"/>
      <c r="B518" s="69"/>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5.75" customHeight="1" x14ac:dyDescent="0.4">
      <c r="A519" s="60"/>
      <c r="B519" s="69"/>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5.75" customHeight="1" x14ac:dyDescent="0.4">
      <c r="A520" s="60"/>
      <c r="B520" s="69"/>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5.75" customHeight="1" x14ac:dyDescent="0.4">
      <c r="A521" s="60"/>
      <c r="B521" s="69"/>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5.75" customHeight="1" x14ac:dyDescent="0.4">
      <c r="A522" s="60"/>
      <c r="B522" s="69"/>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5.75" customHeight="1" x14ac:dyDescent="0.4">
      <c r="A523" s="60"/>
      <c r="B523" s="69"/>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5.75" customHeight="1" x14ac:dyDescent="0.4">
      <c r="A524" s="60"/>
      <c r="B524" s="69"/>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5.75" customHeight="1" x14ac:dyDescent="0.4">
      <c r="A525" s="60"/>
      <c r="B525" s="69"/>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5.75" customHeight="1" x14ac:dyDescent="0.4">
      <c r="A526" s="60"/>
      <c r="B526" s="69"/>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5.75" customHeight="1" x14ac:dyDescent="0.4">
      <c r="A527" s="60"/>
      <c r="B527" s="69"/>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5.75" customHeight="1" x14ac:dyDescent="0.4">
      <c r="A528" s="60"/>
      <c r="B528" s="69"/>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5.75" customHeight="1" x14ac:dyDescent="0.4">
      <c r="A529" s="60"/>
      <c r="B529" s="69"/>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5.75" customHeight="1" x14ac:dyDescent="0.4">
      <c r="A530" s="60"/>
      <c r="B530" s="69"/>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5.75" customHeight="1" x14ac:dyDescent="0.4">
      <c r="A531" s="60"/>
      <c r="B531" s="69"/>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5.75" customHeight="1" x14ac:dyDescent="0.4">
      <c r="A532" s="60"/>
      <c r="B532" s="69"/>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5.75" customHeight="1" x14ac:dyDescent="0.4">
      <c r="A533" s="60"/>
      <c r="B533" s="69"/>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5.75" customHeight="1" x14ac:dyDescent="0.4">
      <c r="A534" s="60"/>
      <c r="B534" s="69"/>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5.75" customHeight="1" x14ac:dyDescent="0.4">
      <c r="A535" s="60"/>
      <c r="B535" s="69"/>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5.75" customHeight="1" x14ac:dyDescent="0.4">
      <c r="A536" s="60"/>
      <c r="B536" s="69"/>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5.75" customHeight="1" x14ac:dyDescent="0.4">
      <c r="A537" s="60"/>
      <c r="B537" s="69"/>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5.75" customHeight="1" x14ac:dyDescent="0.4">
      <c r="A538" s="60"/>
      <c r="B538" s="69"/>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5.75" customHeight="1" x14ac:dyDescent="0.4">
      <c r="A539" s="60"/>
      <c r="B539" s="69"/>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5.75" customHeight="1" x14ac:dyDescent="0.4">
      <c r="A540" s="60"/>
      <c r="B540" s="69"/>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5.75" customHeight="1" x14ac:dyDescent="0.4">
      <c r="A541" s="60"/>
      <c r="B541" s="69"/>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5.75" customHeight="1" x14ac:dyDescent="0.4">
      <c r="A542" s="60"/>
      <c r="B542" s="69"/>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5.75" customHeight="1" x14ac:dyDescent="0.4">
      <c r="A543" s="60"/>
      <c r="B543" s="69"/>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5.75" customHeight="1" x14ac:dyDescent="0.4">
      <c r="A544" s="60"/>
      <c r="B544" s="69"/>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5.75" customHeight="1" x14ac:dyDescent="0.4">
      <c r="A545" s="60"/>
      <c r="B545" s="69"/>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5.75" customHeight="1" x14ac:dyDescent="0.4">
      <c r="A546" s="60"/>
      <c r="B546" s="69"/>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5.75" customHeight="1" x14ac:dyDescent="0.4">
      <c r="A547" s="60"/>
      <c r="B547" s="69"/>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5.75" customHeight="1" x14ac:dyDescent="0.4">
      <c r="A548" s="60"/>
      <c r="B548" s="69"/>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5.75" customHeight="1" x14ac:dyDescent="0.4">
      <c r="A549" s="60"/>
      <c r="B549" s="69"/>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5.75" customHeight="1" x14ac:dyDescent="0.4">
      <c r="A550" s="60"/>
      <c r="B550" s="69"/>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5.75" customHeight="1" x14ac:dyDescent="0.4">
      <c r="A551" s="60"/>
      <c r="B551" s="69"/>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5.75" customHeight="1" x14ac:dyDescent="0.4">
      <c r="A552" s="60"/>
      <c r="B552" s="69"/>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5.75" customHeight="1" x14ac:dyDescent="0.4">
      <c r="A553" s="60"/>
      <c r="B553" s="69"/>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5.75" customHeight="1" x14ac:dyDescent="0.4">
      <c r="A554" s="60"/>
      <c r="B554" s="69"/>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5.75" customHeight="1" x14ac:dyDescent="0.4">
      <c r="A555" s="60"/>
      <c r="B555" s="69"/>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5.75" customHeight="1" x14ac:dyDescent="0.4">
      <c r="A556" s="60"/>
      <c r="B556" s="69"/>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5.75" customHeight="1" x14ac:dyDescent="0.4">
      <c r="A557" s="60"/>
      <c r="B557" s="69"/>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5.75" customHeight="1" x14ac:dyDescent="0.4">
      <c r="A558" s="60"/>
      <c r="B558" s="69"/>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5.75" customHeight="1" x14ac:dyDescent="0.4">
      <c r="A559" s="60"/>
      <c r="B559" s="69"/>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5.75" customHeight="1" x14ac:dyDescent="0.4">
      <c r="A560" s="60"/>
      <c r="B560" s="69"/>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5.75" customHeight="1" x14ac:dyDescent="0.4">
      <c r="A561" s="60"/>
      <c r="B561" s="69"/>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5.75" customHeight="1" x14ac:dyDescent="0.4">
      <c r="A562" s="60"/>
      <c r="B562" s="69"/>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5.75" customHeight="1" x14ac:dyDescent="0.4">
      <c r="A563" s="60"/>
      <c r="B563" s="69"/>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5.75" customHeight="1" x14ac:dyDescent="0.4">
      <c r="A564" s="60"/>
      <c r="B564" s="69"/>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5.75" customHeight="1" x14ac:dyDescent="0.4">
      <c r="A565" s="60"/>
      <c r="B565" s="69"/>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5.75" customHeight="1" x14ac:dyDescent="0.4">
      <c r="A566" s="60"/>
      <c r="B566" s="69"/>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5.75" customHeight="1" x14ac:dyDescent="0.4">
      <c r="A567" s="60"/>
      <c r="B567" s="69"/>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5.75" customHeight="1" x14ac:dyDescent="0.4">
      <c r="A568" s="60"/>
      <c r="B568" s="69"/>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5.75" customHeight="1" x14ac:dyDescent="0.4">
      <c r="A569" s="60"/>
      <c r="B569" s="69"/>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5.75" customHeight="1" x14ac:dyDescent="0.4">
      <c r="A570" s="60"/>
      <c r="B570" s="69"/>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5.75" customHeight="1" x14ac:dyDescent="0.4">
      <c r="A571" s="60"/>
      <c r="B571" s="69"/>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5.75" customHeight="1" x14ac:dyDescent="0.4">
      <c r="A572" s="60"/>
      <c r="B572" s="69"/>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5.75" customHeight="1" x14ac:dyDescent="0.4">
      <c r="A573" s="60"/>
      <c r="B573" s="69"/>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5.75" customHeight="1" x14ac:dyDescent="0.4">
      <c r="A574" s="60"/>
      <c r="B574" s="69"/>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5.75" customHeight="1" x14ac:dyDescent="0.4">
      <c r="A575" s="60"/>
      <c r="B575" s="69"/>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5.75" customHeight="1" x14ac:dyDescent="0.4">
      <c r="A576" s="60"/>
      <c r="B576" s="69"/>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5.75" customHeight="1" x14ac:dyDescent="0.4">
      <c r="A577" s="60"/>
      <c r="B577" s="69"/>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5.75" customHeight="1" x14ac:dyDescent="0.4">
      <c r="A578" s="60"/>
      <c r="B578" s="69"/>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5.75" customHeight="1" x14ac:dyDescent="0.4">
      <c r="A579" s="60"/>
      <c r="B579" s="69"/>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5.75" customHeight="1" x14ac:dyDescent="0.4">
      <c r="A580" s="60"/>
      <c r="B580" s="69"/>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5.75" customHeight="1" x14ac:dyDescent="0.4">
      <c r="A581" s="60"/>
      <c r="B581" s="69"/>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5.75" customHeight="1" x14ac:dyDescent="0.4">
      <c r="A582" s="60"/>
      <c r="B582" s="69"/>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5.75" customHeight="1" x14ac:dyDescent="0.4">
      <c r="A583" s="60"/>
      <c r="B583" s="69"/>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5.75" customHeight="1" x14ac:dyDescent="0.4">
      <c r="A584" s="60"/>
      <c r="B584" s="69"/>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5.75" customHeight="1" x14ac:dyDescent="0.4">
      <c r="A585" s="60"/>
      <c r="B585" s="69"/>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5.75" customHeight="1" x14ac:dyDescent="0.4">
      <c r="A586" s="60"/>
      <c r="B586" s="69"/>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5.75" customHeight="1" x14ac:dyDescent="0.4">
      <c r="A587" s="60"/>
      <c r="B587" s="69"/>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5.75" customHeight="1" x14ac:dyDescent="0.4">
      <c r="A588" s="60"/>
      <c r="B588" s="69"/>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5.75" customHeight="1" x14ac:dyDescent="0.4">
      <c r="A589" s="60"/>
      <c r="B589" s="69"/>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5.75" customHeight="1" x14ac:dyDescent="0.4">
      <c r="A590" s="60"/>
      <c r="B590" s="69"/>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5.75" customHeight="1" x14ac:dyDescent="0.4">
      <c r="A591" s="60"/>
      <c r="B591" s="69"/>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5.75" customHeight="1" x14ac:dyDescent="0.4">
      <c r="A592" s="60"/>
      <c r="B592" s="69"/>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5.75" customHeight="1" x14ac:dyDescent="0.4">
      <c r="A593" s="60"/>
      <c r="B593" s="69"/>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5.75" customHeight="1" x14ac:dyDescent="0.4">
      <c r="A594" s="60"/>
      <c r="B594" s="69"/>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5.75" customHeight="1" x14ac:dyDescent="0.4">
      <c r="A595" s="60"/>
      <c r="B595" s="69"/>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5.75" customHeight="1" x14ac:dyDescent="0.4">
      <c r="A596" s="60"/>
      <c r="B596" s="69"/>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5.75" customHeight="1" x14ac:dyDescent="0.4">
      <c r="A597" s="60"/>
      <c r="B597" s="69"/>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5.75" customHeight="1" x14ac:dyDescent="0.4">
      <c r="A598" s="60"/>
      <c r="B598" s="69"/>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5.75" customHeight="1" x14ac:dyDescent="0.4">
      <c r="A599" s="60"/>
      <c r="B599" s="69"/>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5.75" customHeight="1" x14ac:dyDescent="0.4">
      <c r="A600" s="60"/>
      <c r="B600" s="69"/>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5.75" customHeight="1" x14ac:dyDescent="0.4">
      <c r="A601" s="60"/>
      <c r="B601" s="69"/>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5.75" customHeight="1" x14ac:dyDescent="0.4">
      <c r="A602" s="60"/>
      <c r="B602" s="69"/>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5.75" customHeight="1" x14ac:dyDescent="0.4">
      <c r="A603" s="60"/>
      <c r="B603" s="69"/>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5.75" customHeight="1" x14ac:dyDescent="0.4">
      <c r="A604" s="60"/>
      <c r="B604" s="69"/>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5.75" customHeight="1" x14ac:dyDescent="0.4">
      <c r="A605" s="60"/>
      <c r="B605" s="69"/>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5.75" customHeight="1" x14ac:dyDescent="0.4">
      <c r="A606" s="60"/>
      <c r="B606" s="69"/>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5.75" customHeight="1" x14ac:dyDescent="0.4">
      <c r="A607" s="60"/>
      <c r="B607" s="69"/>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5.75" customHeight="1" x14ac:dyDescent="0.4">
      <c r="A608" s="60"/>
      <c r="B608" s="69"/>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5.75" customHeight="1" x14ac:dyDescent="0.4">
      <c r="A609" s="60"/>
      <c r="B609" s="69"/>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5.75" customHeight="1" x14ac:dyDescent="0.4">
      <c r="A610" s="60"/>
      <c r="B610" s="69"/>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5.75" customHeight="1" x14ac:dyDescent="0.4">
      <c r="A611" s="60"/>
      <c r="B611" s="69"/>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5.75" customHeight="1" x14ac:dyDescent="0.4">
      <c r="A612" s="60"/>
      <c r="B612" s="69"/>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5.75" customHeight="1" x14ac:dyDescent="0.4">
      <c r="A613" s="60"/>
      <c r="B613" s="69"/>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5.75" customHeight="1" x14ac:dyDescent="0.4">
      <c r="A614" s="60"/>
      <c r="B614" s="69"/>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5.75" customHeight="1" x14ac:dyDescent="0.4">
      <c r="A615" s="60"/>
      <c r="B615" s="69"/>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5.75" customHeight="1" x14ac:dyDescent="0.4">
      <c r="A616" s="60"/>
      <c r="B616" s="69"/>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5.75" customHeight="1" x14ac:dyDescent="0.4">
      <c r="A617" s="60"/>
      <c r="B617" s="69"/>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5.75" customHeight="1" x14ac:dyDescent="0.4">
      <c r="A618" s="60"/>
      <c r="B618" s="69"/>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5.75" customHeight="1" x14ac:dyDescent="0.4">
      <c r="A619" s="60"/>
      <c r="B619" s="69"/>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5.75" customHeight="1" x14ac:dyDescent="0.4">
      <c r="A620" s="60"/>
      <c r="B620" s="69"/>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5.75" customHeight="1" x14ac:dyDescent="0.4">
      <c r="A621" s="60"/>
      <c r="B621" s="69"/>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5.75" customHeight="1" x14ac:dyDescent="0.4">
      <c r="A622" s="60"/>
      <c r="B622" s="69"/>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5.75" customHeight="1" x14ac:dyDescent="0.4">
      <c r="A623" s="60"/>
      <c r="B623" s="69"/>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5.75" customHeight="1" x14ac:dyDescent="0.4">
      <c r="A624" s="60"/>
      <c r="B624" s="69"/>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5.75" customHeight="1" x14ac:dyDescent="0.4">
      <c r="A625" s="60"/>
      <c r="B625" s="69"/>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5.75" customHeight="1" x14ac:dyDescent="0.4">
      <c r="A626" s="60"/>
      <c r="B626" s="69"/>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5.75" customHeight="1" x14ac:dyDescent="0.4">
      <c r="A627" s="60"/>
      <c r="B627" s="69"/>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5.75" customHeight="1" x14ac:dyDescent="0.4">
      <c r="A628" s="60"/>
      <c r="B628" s="69"/>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5.75" customHeight="1" x14ac:dyDescent="0.4">
      <c r="A629" s="60"/>
      <c r="B629" s="69"/>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5.75" customHeight="1" x14ac:dyDescent="0.4">
      <c r="A630" s="60"/>
      <c r="B630" s="69"/>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5.75" customHeight="1" x14ac:dyDescent="0.4">
      <c r="A631" s="60"/>
      <c r="B631" s="69"/>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5.75" customHeight="1" x14ac:dyDescent="0.4">
      <c r="A632" s="60"/>
      <c r="B632" s="69"/>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5.75" customHeight="1" x14ac:dyDescent="0.4">
      <c r="A633" s="60"/>
      <c r="B633" s="69"/>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5.75" customHeight="1" x14ac:dyDescent="0.4">
      <c r="A634" s="60"/>
      <c r="B634" s="69"/>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5.75" customHeight="1" x14ac:dyDescent="0.4">
      <c r="A635" s="60"/>
      <c r="B635" s="69"/>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5.75" customHeight="1" x14ac:dyDescent="0.4">
      <c r="A636" s="60"/>
      <c r="B636" s="69"/>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5.75" customHeight="1" x14ac:dyDescent="0.4">
      <c r="A637" s="60"/>
      <c r="B637" s="69"/>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5.75" customHeight="1" x14ac:dyDescent="0.4">
      <c r="A638" s="60"/>
      <c r="B638" s="69"/>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5.75" customHeight="1" x14ac:dyDescent="0.4">
      <c r="A639" s="60"/>
      <c r="B639" s="69"/>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5.75" customHeight="1" x14ac:dyDescent="0.4">
      <c r="A640" s="60"/>
      <c r="B640" s="69"/>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5.75" customHeight="1" x14ac:dyDescent="0.4">
      <c r="A641" s="60"/>
      <c r="B641" s="69"/>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5.75" customHeight="1" x14ac:dyDescent="0.4">
      <c r="A642" s="60"/>
      <c r="B642" s="69"/>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5.75" customHeight="1" x14ac:dyDescent="0.4">
      <c r="A643" s="60"/>
      <c r="B643" s="69"/>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5.75" customHeight="1" x14ac:dyDescent="0.4">
      <c r="A644" s="60"/>
      <c r="B644" s="69"/>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5.75" customHeight="1" x14ac:dyDescent="0.4">
      <c r="A645" s="60"/>
      <c r="B645" s="69"/>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5.75" customHeight="1" x14ac:dyDescent="0.4">
      <c r="A646" s="60"/>
      <c r="B646" s="69"/>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5.75" customHeight="1" x14ac:dyDescent="0.4">
      <c r="A647" s="60"/>
      <c r="B647" s="69"/>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5.75" customHeight="1" x14ac:dyDescent="0.4">
      <c r="A648" s="60"/>
      <c r="B648" s="69"/>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5.75" customHeight="1" x14ac:dyDescent="0.4">
      <c r="A649" s="60"/>
      <c r="B649" s="69"/>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5.75" customHeight="1" x14ac:dyDescent="0.4">
      <c r="A650" s="60"/>
      <c r="B650" s="69"/>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5.75" customHeight="1" x14ac:dyDescent="0.4">
      <c r="A651" s="60"/>
      <c r="B651" s="69"/>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5.75" customHeight="1" x14ac:dyDescent="0.4">
      <c r="A652" s="60"/>
      <c r="B652" s="69"/>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5.75" customHeight="1" x14ac:dyDescent="0.4">
      <c r="A653" s="60"/>
      <c r="B653" s="69"/>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5.75" customHeight="1" x14ac:dyDescent="0.4">
      <c r="A654" s="60"/>
      <c r="B654" s="69"/>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5.75" customHeight="1" x14ac:dyDescent="0.4">
      <c r="A655" s="60"/>
      <c r="B655" s="69"/>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5.75" customHeight="1" x14ac:dyDescent="0.4">
      <c r="A656" s="60"/>
      <c r="B656" s="69"/>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5.75" customHeight="1" x14ac:dyDescent="0.4">
      <c r="A657" s="60"/>
      <c r="B657" s="69"/>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5.75" customHeight="1" x14ac:dyDescent="0.4">
      <c r="A658" s="60"/>
      <c r="B658" s="69"/>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5.75" customHeight="1" x14ac:dyDescent="0.4">
      <c r="A659" s="60"/>
      <c r="B659" s="69"/>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5.75" customHeight="1" x14ac:dyDescent="0.4">
      <c r="A660" s="60"/>
      <c r="B660" s="69"/>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5.75" customHeight="1" x14ac:dyDescent="0.4">
      <c r="A661" s="60"/>
      <c r="B661" s="69"/>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5.75" customHeight="1" x14ac:dyDescent="0.4">
      <c r="A662" s="60"/>
      <c r="B662" s="69"/>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5.75" customHeight="1" x14ac:dyDescent="0.4">
      <c r="A663" s="60"/>
      <c r="B663" s="69"/>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5.75" customHeight="1" x14ac:dyDescent="0.4">
      <c r="A664" s="60"/>
      <c r="B664" s="69"/>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5.75" customHeight="1" x14ac:dyDescent="0.4">
      <c r="A665" s="60"/>
      <c r="B665" s="69"/>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5.75" customHeight="1" x14ac:dyDescent="0.4">
      <c r="A666" s="60"/>
      <c r="B666" s="69"/>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5.75" customHeight="1" x14ac:dyDescent="0.4">
      <c r="A667" s="60"/>
      <c r="B667" s="69"/>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5.75" customHeight="1" x14ac:dyDescent="0.4">
      <c r="A668" s="60"/>
      <c r="B668" s="69"/>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5.75" customHeight="1" x14ac:dyDescent="0.4">
      <c r="A669" s="60"/>
      <c r="B669" s="69"/>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5.75" customHeight="1" x14ac:dyDescent="0.4">
      <c r="A670" s="60"/>
      <c r="B670" s="69"/>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5.75" customHeight="1" x14ac:dyDescent="0.4">
      <c r="A671" s="60"/>
      <c r="B671" s="69"/>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5.75" customHeight="1" x14ac:dyDescent="0.4">
      <c r="A672" s="60"/>
      <c r="B672" s="69"/>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5.75" customHeight="1" x14ac:dyDescent="0.4">
      <c r="A673" s="60"/>
      <c r="B673" s="69"/>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5.75" customHeight="1" x14ac:dyDescent="0.4">
      <c r="A674" s="60"/>
      <c r="B674" s="69"/>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5.75" customHeight="1" x14ac:dyDescent="0.4">
      <c r="A675" s="60"/>
      <c r="B675" s="69"/>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5.75" customHeight="1" x14ac:dyDescent="0.4">
      <c r="A676" s="60"/>
      <c r="B676" s="69"/>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5.75" customHeight="1" x14ac:dyDescent="0.4">
      <c r="A677" s="60"/>
      <c r="B677" s="69"/>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5.75" customHeight="1" x14ac:dyDescent="0.4">
      <c r="A678" s="60"/>
      <c r="B678" s="69"/>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5.75" customHeight="1" x14ac:dyDescent="0.4">
      <c r="A679" s="60"/>
      <c r="B679" s="69"/>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5.75" customHeight="1" x14ac:dyDescent="0.4">
      <c r="A680" s="60"/>
      <c r="B680" s="69"/>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5.75" customHeight="1" x14ac:dyDescent="0.4">
      <c r="A681" s="60"/>
      <c r="B681" s="69"/>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5.75" customHeight="1" x14ac:dyDescent="0.4">
      <c r="A682" s="60"/>
      <c r="B682" s="69"/>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5.75" customHeight="1" x14ac:dyDescent="0.4">
      <c r="A683" s="60"/>
      <c r="B683" s="69"/>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5.75" customHeight="1" x14ac:dyDescent="0.4">
      <c r="A684" s="60"/>
      <c r="B684" s="69"/>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5.75" customHeight="1" x14ac:dyDescent="0.4">
      <c r="A685" s="60"/>
      <c r="B685" s="69"/>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5.75" customHeight="1" x14ac:dyDescent="0.4">
      <c r="A686" s="60"/>
      <c r="B686" s="69"/>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5.75" customHeight="1" x14ac:dyDescent="0.4">
      <c r="A687" s="60"/>
      <c r="B687" s="69"/>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5.75" customHeight="1" x14ac:dyDescent="0.4">
      <c r="A688" s="60"/>
      <c r="B688" s="69"/>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5.75" customHeight="1" x14ac:dyDescent="0.4">
      <c r="A689" s="60"/>
      <c r="B689" s="69"/>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5.75" customHeight="1" x14ac:dyDescent="0.4">
      <c r="A690" s="60"/>
      <c r="B690" s="69"/>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5.75" customHeight="1" x14ac:dyDescent="0.4">
      <c r="A691" s="60"/>
      <c r="B691" s="69"/>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5.75" customHeight="1" x14ac:dyDescent="0.4">
      <c r="A692" s="60"/>
      <c r="B692" s="69"/>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5.75" customHeight="1" x14ac:dyDescent="0.4">
      <c r="A693" s="60"/>
      <c r="B693" s="69"/>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5.75" customHeight="1" x14ac:dyDescent="0.4">
      <c r="A694" s="60"/>
      <c r="B694" s="69"/>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5.75" customHeight="1" x14ac:dyDescent="0.4">
      <c r="A695" s="60"/>
      <c r="B695" s="69"/>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5.75" customHeight="1" x14ac:dyDescent="0.4">
      <c r="A696" s="60"/>
      <c r="B696" s="69"/>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5.75" customHeight="1" x14ac:dyDescent="0.4">
      <c r="A697" s="60"/>
      <c r="B697" s="69"/>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5.75" customHeight="1" x14ac:dyDescent="0.4">
      <c r="A698" s="60"/>
      <c r="B698" s="69"/>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5.75" customHeight="1" x14ac:dyDescent="0.4">
      <c r="A699" s="60"/>
      <c r="B699" s="69"/>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5.75" customHeight="1" x14ac:dyDescent="0.4">
      <c r="A700" s="60"/>
      <c r="B700" s="69"/>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5.75" customHeight="1" x14ac:dyDescent="0.4">
      <c r="A701" s="60"/>
      <c r="B701" s="69"/>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5.75" customHeight="1" x14ac:dyDescent="0.4">
      <c r="A702" s="60"/>
      <c r="B702" s="69"/>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5.75" customHeight="1" x14ac:dyDescent="0.4">
      <c r="A703" s="60"/>
      <c r="B703" s="69"/>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5.75" customHeight="1" x14ac:dyDescent="0.4">
      <c r="A704" s="60"/>
      <c r="B704" s="69"/>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5.75" customHeight="1" x14ac:dyDescent="0.4">
      <c r="A705" s="60"/>
      <c r="B705" s="69"/>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5.75" customHeight="1" x14ac:dyDescent="0.4">
      <c r="A706" s="60"/>
      <c r="B706" s="69"/>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5.75" customHeight="1" x14ac:dyDescent="0.4">
      <c r="A707" s="60"/>
      <c r="B707" s="69"/>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5.75" customHeight="1" x14ac:dyDescent="0.4">
      <c r="A708" s="60"/>
      <c r="B708" s="69"/>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5.75" customHeight="1" x14ac:dyDescent="0.4">
      <c r="A709" s="60"/>
      <c r="B709" s="69"/>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5.75" customHeight="1" x14ac:dyDescent="0.4">
      <c r="A710" s="60"/>
      <c r="B710" s="69"/>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5.75" customHeight="1" x14ac:dyDescent="0.4">
      <c r="A711" s="60"/>
      <c r="B711" s="69"/>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5.75" customHeight="1" x14ac:dyDescent="0.4">
      <c r="A712" s="60"/>
      <c r="B712" s="69"/>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5.75" customHeight="1" x14ac:dyDescent="0.4">
      <c r="A713" s="60"/>
      <c r="B713" s="69"/>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5.75" customHeight="1" x14ac:dyDescent="0.4">
      <c r="A714" s="60"/>
      <c r="B714" s="69"/>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5.75" customHeight="1" x14ac:dyDescent="0.4">
      <c r="A715" s="60"/>
      <c r="B715" s="69"/>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5.75" customHeight="1" x14ac:dyDescent="0.4">
      <c r="A716" s="60"/>
      <c r="B716" s="69"/>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5.75" customHeight="1" x14ac:dyDescent="0.4">
      <c r="A717" s="60"/>
      <c r="B717" s="69"/>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5.75" customHeight="1" x14ac:dyDescent="0.4">
      <c r="A718" s="60"/>
      <c r="B718" s="69"/>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5.75" customHeight="1" x14ac:dyDescent="0.4">
      <c r="A719" s="60"/>
      <c r="B719" s="69"/>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5.75" customHeight="1" x14ac:dyDescent="0.4">
      <c r="A720" s="60"/>
      <c r="B720" s="69"/>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5.75" customHeight="1" x14ac:dyDescent="0.4">
      <c r="A721" s="60"/>
      <c r="B721" s="69"/>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5.75" customHeight="1" x14ac:dyDescent="0.4">
      <c r="A722" s="60"/>
      <c r="B722" s="69"/>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5.75" customHeight="1" x14ac:dyDescent="0.4">
      <c r="A723" s="60"/>
      <c r="B723" s="69"/>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5.75" customHeight="1" x14ac:dyDescent="0.4">
      <c r="A724" s="60"/>
      <c r="B724" s="69"/>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5.75" customHeight="1" x14ac:dyDescent="0.4">
      <c r="A725" s="60"/>
      <c r="B725" s="69"/>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5.75" customHeight="1" x14ac:dyDescent="0.4">
      <c r="A726" s="60"/>
      <c r="B726" s="69"/>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5.75" customHeight="1" x14ac:dyDescent="0.4">
      <c r="A727" s="60"/>
      <c r="B727" s="69"/>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5.75" customHeight="1" x14ac:dyDescent="0.4">
      <c r="A728" s="60"/>
      <c r="B728" s="69"/>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5.75" customHeight="1" x14ac:dyDescent="0.4">
      <c r="A729" s="60"/>
      <c r="B729" s="69"/>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5.75" customHeight="1" x14ac:dyDescent="0.4">
      <c r="A730" s="60"/>
      <c r="B730" s="69"/>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5.75" customHeight="1" x14ac:dyDescent="0.4">
      <c r="A731" s="60"/>
      <c r="B731" s="69"/>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5.75" customHeight="1" x14ac:dyDescent="0.4">
      <c r="A732" s="60"/>
      <c r="B732" s="69"/>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5.75" customHeight="1" x14ac:dyDescent="0.4">
      <c r="A733" s="60"/>
      <c r="B733" s="69"/>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5.75" customHeight="1" x14ac:dyDescent="0.4">
      <c r="A734" s="60"/>
      <c r="B734" s="69"/>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5.75" customHeight="1" x14ac:dyDescent="0.4">
      <c r="A735" s="60"/>
      <c r="B735" s="69"/>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5.75" customHeight="1" x14ac:dyDescent="0.4">
      <c r="A736" s="60"/>
      <c r="B736" s="69"/>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5.75" customHeight="1" x14ac:dyDescent="0.4">
      <c r="A737" s="60"/>
      <c r="B737" s="69"/>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5.75" customHeight="1" x14ac:dyDescent="0.4">
      <c r="A738" s="60"/>
      <c r="B738" s="69"/>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5.75" customHeight="1" x14ac:dyDescent="0.4">
      <c r="A739" s="60"/>
      <c r="B739" s="69"/>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5.75" customHeight="1" x14ac:dyDescent="0.4">
      <c r="A740" s="60"/>
      <c r="B740" s="69"/>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5.75" customHeight="1" x14ac:dyDescent="0.4">
      <c r="A741" s="60"/>
      <c r="B741" s="69"/>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5.75" customHeight="1" x14ac:dyDescent="0.4">
      <c r="A742" s="60"/>
      <c r="B742" s="69"/>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5.75" customHeight="1" x14ac:dyDescent="0.4">
      <c r="A743" s="60"/>
      <c r="B743" s="69"/>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5.75" customHeight="1" x14ac:dyDescent="0.4">
      <c r="A744" s="60"/>
      <c r="B744" s="69"/>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5.75" customHeight="1" x14ac:dyDescent="0.4">
      <c r="A745" s="60"/>
      <c r="B745" s="69"/>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5.75" customHeight="1" x14ac:dyDescent="0.4">
      <c r="A746" s="60"/>
      <c r="B746" s="69"/>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5.75" customHeight="1" x14ac:dyDescent="0.4">
      <c r="A747" s="60"/>
      <c r="B747" s="69"/>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5.75" customHeight="1" x14ac:dyDescent="0.4">
      <c r="A748" s="60"/>
      <c r="B748" s="69"/>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5.75" customHeight="1" x14ac:dyDescent="0.4">
      <c r="A749" s="60"/>
      <c r="B749" s="69"/>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5.75" customHeight="1" x14ac:dyDescent="0.4">
      <c r="A750" s="60"/>
      <c r="B750" s="69"/>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5.75" customHeight="1" x14ac:dyDescent="0.4">
      <c r="A751" s="60"/>
      <c r="B751" s="69"/>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5.75" customHeight="1" x14ac:dyDescent="0.4">
      <c r="A752" s="60"/>
      <c r="B752" s="69"/>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5.75" customHeight="1" x14ac:dyDescent="0.4">
      <c r="A753" s="60"/>
      <c r="B753" s="69"/>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5.75" customHeight="1" x14ac:dyDescent="0.4">
      <c r="A754" s="60"/>
      <c r="B754" s="69"/>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5.75" customHeight="1" x14ac:dyDescent="0.4">
      <c r="A755" s="60"/>
      <c r="B755" s="69"/>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5.75" customHeight="1" x14ac:dyDescent="0.4">
      <c r="A756" s="60"/>
      <c r="B756" s="69"/>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5.75" customHeight="1" x14ac:dyDescent="0.4">
      <c r="A757" s="60"/>
      <c r="B757" s="69"/>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5.75" customHeight="1" x14ac:dyDescent="0.4">
      <c r="A758" s="60"/>
      <c r="B758" s="69"/>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5.75" customHeight="1" x14ac:dyDescent="0.4">
      <c r="A759" s="60"/>
      <c r="B759" s="69"/>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5.75" customHeight="1" x14ac:dyDescent="0.4">
      <c r="A760" s="60"/>
      <c r="B760" s="69"/>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5.75" customHeight="1" x14ac:dyDescent="0.4">
      <c r="A761" s="60"/>
      <c r="B761" s="69"/>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5.75" customHeight="1" x14ac:dyDescent="0.4">
      <c r="A762" s="60"/>
      <c r="B762" s="69"/>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5.75" customHeight="1" x14ac:dyDescent="0.4">
      <c r="A763" s="60"/>
      <c r="B763" s="69"/>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5.75" customHeight="1" x14ac:dyDescent="0.4">
      <c r="A764" s="60"/>
      <c r="B764" s="69"/>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5.75" customHeight="1" x14ac:dyDescent="0.4">
      <c r="A765" s="60"/>
      <c r="B765" s="69"/>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5.75" customHeight="1" x14ac:dyDescent="0.4">
      <c r="A766" s="60"/>
      <c r="B766" s="69"/>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5.75" customHeight="1" x14ac:dyDescent="0.4">
      <c r="A767" s="60"/>
      <c r="B767" s="69"/>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5.75" customHeight="1" x14ac:dyDescent="0.4">
      <c r="A768" s="60"/>
      <c r="B768" s="69"/>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5.75" customHeight="1" x14ac:dyDescent="0.4">
      <c r="A769" s="60"/>
      <c r="B769" s="69"/>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5.75" customHeight="1" x14ac:dyDescent="0.4">
      <c r="A770" s="60"/>
      <c r="B770" s="69"/>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5.75" customHeight="1" x14ac:dyDescent="0.4">
      <c r="A771" s="60"/>
      <c r="B771" s="69"/>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5.75" customHeight="1" x14ac:dyDescent="0.4">
      <c r="A772" s="60"/>
      <c r="B772" s="69"/>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5.75" customHeight="1" x14ac:dyDescent="0.4">
      <c r="A773" s="60"/>
      <c r="B773" s="69"/>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5.75" customHeight="1" x14ac:dyDescent="0.4">
      <c r="A774" s="60"/>
      <c r="B774" s="69"/>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5.75" customHeight="1" x14ac:dyDescent="0.4">
      <c r="A775" s="60"/>
      <c r="B775" s="69"/>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5.75" customHeight="1" x14ac:dyDescent="0.4">
      <c r="A776" s="60"/>
      <c r="B776" s="69"/>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5.75" customHeight="1" x14ac:dyDescent="0.4">
      <c r="A777" s="60"/>
      <c r="B777" s="69"/>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5.75" customHeight="1" x14ac:dyDescent="0.4">
      <c r="A778" s="60"/>
      <c r="B778" s="69"/>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5.75" customHeight="1" x14ac:dyDescent="0.4">
      <c r="A779" s="60"/>
      <c r="B779" s="69"/>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5.75" customHeight="1" x14ac:dyDescent="0.4">
      <c r="A780" s="60"/>
      <c r="B780" s="69"/>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5.75" customHeight="1" x14ac:dyDescent="0.4">
      <c r="A781" s="60"/>
      <c r="B781" s="69"/>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5.75" customHeight="1" x14ac:dyDescent="0.4">
      <c r="A782" s="60"/>
      <c r="B782" s="69"/>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5.75" customHeight="1" x14ac:dyDescent="0.4">
      <c r="A783" s="60"/>
      <c r="B783" s="69"/>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5.75" customHeight="1" x14ac:dyDescent="0.4">
      <c r="A784" s="60"/>
      <c r="B784" s="69"/>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5.75" customHeight="1" x14ac:dyDescent="0.4">
      <c r="A785" s="60"/>
      <c r="B785" s="69"/>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5.75" customHeight="1" x14ac:dyDescent="0.4">
      <c r="A786" s="60"/>
      <c r="B786" s="69"/>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5.75" customHeight="1" x14ac:dyDescent="0.4">
      <c r="A787" s="60"/>
      <c r="B787" s="69"/>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5.75" customHeight="1" x14ac:dyDescent="0.4">
      <c r="A788" s="60"/>
      <c r="B788" s="69"/>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5.75" customHeight="1" x14ac:dyDescent="0.4">
      <c r="A789" s="60"/>
      <c r="B789" s="69"/>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5.75" customHeight="1" x14ac:dyDescent="0.4">
      <c r="A790" s="60"/>
      <c r="B790" s="69"/>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5.75" customHeight="1" x14ac:dyDescent="0.4">
      <c r="A791" s="60"/>
      <c r="B791" s="69"/>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5.75" customHeight="1" x14ac:dyDescent="0.4">
      <c r="A792" s="60"/>
      <c r="B792" s="69"/>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5.75" customHeight="1" x14ac:dyDescent="0.4">
      <c r="A793" s="60"/>
      <c r="B793" s="69"/>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5.75" customHeight="1" x14ac:dyDescent="0.4">
      <c r="A794" s="60"/>
      <c r="B794" s="69"/>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5.75" customHeight="1" x14ac:dyDescent="0.4">
      <c r="A795" s="60"/>
      <c r="B795" s="69"/>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5.75" customHeight="1" x14ac:dyDescent="0.4">
      <c r="A796" s="60"/>
      <c r="B796" s="69"/>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5.75" customHeight="1" x14ac:dyDescent="0.4">
      <c r="A797" s="60"/>
      <c r="B797" s="69"/>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5.75" customHeight="1" x14ac:dyDescent="0.4">
      <c r="A798" s="60"/>
      <c r="B798" s="69"/>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5.75" customHeight="1" x14ac:dyDescent="0.4">
      <c r="A799" s="60"/>
      <c r="B799" s="69"/>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5.75" customHeight="1" x14ac:dyDescent="0.4">
      <c r="A800" s="60"/>
      <c r="B800" s="69"/>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5.75" customHeight="1" x14ac:dyDescent="0.4">
      <c r="A801" s="60"/>
      <c r="B801" s="69"/>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5.75" customHeight="1" x14ac:dyDescent="0.4">
      <c r="A802" s="60"/>
      <c r="B802" s="69"/>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5.75" customHeight="1" x14ac:dyDescent="0.4">
      <c r="A803" s="60"/>
      <c r="B803" s="69"/>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5.75" customHeight="1" x14ac:dyDescent="0.4">
      <c r="A804" s="60"/>
      <c r="B804" s="69"/>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5.75" customHeight="1" x14ac:dyDescent="0.4">
      <c r="A805" s="60"/>
      <c r="B805" s="69"/>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5.75" customHeight="1" x14ac:dyDescent="0.4">
      <c r="A806" s="60"/>
      <c r="B806" s="69"/>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5.75" customHeight="1" x14ac:dyDescent="0.4">
      <c r="A807" s="60"/>
      <c r="B807" s="69"/>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5.75" customHeight="1" x14ac:dyDescent="0.4">
      <c r="A808" s="60"/>
      <c r="B808" s="69"/>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5.75" customHeight="1" x14ac:dyDescent="0.4">
      <c r="A809" s="60"/>
      <c r="B809" s="69"/>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5.75" customHeight="1" x14ac:dyDescent="0.4">
      <c r="A810" s="60"/>
      <c r="B810" s="69"/>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5.75" customHeight="1" x14ac:dyDescent="0.4">
      <c r="A811" s="60"/>
      <c r="B811" s="69"/>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5.75" customHeight="1" x14ac:dyDescent="0.4">
      <c r="A812" s="60"/>
      <c r="B812" s="69"/>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5.75" customHeight="1" x14ac:dyDescent="0.4">
      <c r="A813" s="60"/>
      <c r="B813" s="69"/>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5.75" customHeight="1" x14ac:dyDescent="0.4">
      <c r="A814" s="60"/>
      <c r="B814" s="69"/>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5.75" customHeight="1" x14ac:dyDescent="0.4">
      <c r="A815" s="60"/>
      <c r="B815" s="69"/>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5.75" customHeight="1" x14ac:dyDescent="0.4">
      <c r="A816" s="60"/>
      <c r="B816" s="69"/>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5.75" customHeight="1" x14ac:dyDescent="0.4">
      <c r="A817" s="60"/>
      <c r="B817" s="69"/>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5.75" customHeight="1" x14ac:dyDescent="0.4">
      <c r="A818" s="60"/>
      <c r="B818" s="69"/>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5.75" customHeight="1" x14ac:dyDescent="0.4">
      <c r="A819" s="60"/>
      <c r="B819" s="69"/>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5.75" customHeight="1" x14ac:dyDescent="0.4">
      <c r="A820" s="60"/>
      <c r="B820" s="69"/>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5.75" customHeight="1" x14ac:dyDescent="0.4">
      <c r="A821" s="60"/>
      <c r="B821" s="69"/>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5.75" customHeight="1" x14ac:dyDescent="0.4">
      <c r="A822" s="60"/>
      <c r="B822" s="69"/>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5.75" customHeight="1" x14ac:dyDescent="0.4">
      <c r="A823" s="60"/>
      <c r="B823" s="69"/>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5.75" customHeight="1" x14ac:dyDescent="0.4">
      <c r="A824" s="60"/>
      <c r="B824" s="69"/>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5.75" customHeight="1" x14ac:dyDescent="0.4">
      <c r="A825" s="60"/>
      <c r="B825" s="69"/>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5.75" customHeight="1" x14ac:dyDescent="0.4">
      <c r="A826" s="60"/>
      <c r="B826" s="69"/>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5.75" customHeight="1" x14ac:dyDescent="0.4">
      <c r="A827" s="60"/>
      <c r="B827" s="69"/>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5.75" customHeight="1" x14ac:dyDescent="0.4">
      <c r="A828" s="60"/>
      <c r="B828" s="69"/>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5.75" customHeight="1" x14ac:dyDescent="0.4">
      <c r="A829" s="60"/>
      <c r="B829" s="69"/>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5.75" customHeight="1" x14ac:dyDescent="0.4">
      <c r="A830" s="60"/>
      <c r="B830" s="69"/>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5.75" customHeight="1" x14ac:dyDescent="0.4">
      <c r="A831" s="60"/>
      <c r="B831" s="69"/>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5.75" customHeight="1" x14ac:dyDescent="0.4">
      <c r="A832" s="60"/>
      <c r="B832" s="69"/>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5.75" customHeight="1" x14ac:dyDescent="0.4">
      <c r="A833" s="60"/>
      <c r="B833" s="69"/>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5.75" customHeight="1" x14ac:dyDescent="0.4">
      <c r="A834" s="60"/>
      <c r="B834" s="69"/>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5.75" customHeight="1" x14ac:dyDescent="0.4">
      <c r="A835" s="60"/>
      <c r="B835" s="69"/>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5.75" customHeight="1" x14ac:dyDescent="0.4">
      <c r="A836" s="60"/>
      <c r="B836" s="69"/>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5.75" customHeight="1" x14ac:dyDescent="0.4">
      <c r="A837" s="60"/>
      <c r="B837" s="69"/>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5.75" customHeight="1" x14ac:dyDescent="0.4">
      <c r="A838" s="60"/>
      <c r="B838" s="69"/>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5.75" customHeight="1" x14ac:dyDescent="0.4">
      <c r="A839" s="60"/>
      <c r="B839" s="69"/>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5.75" customHeight="1" x14ac:dyDescent="0.4">
      <c r="A840" s="60"/>
      <c r="B840" s="69"/>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5.75" customHeight="1" x14ac:dyDescent="0.4">
      <c r="A841" s="60"/>
      <c r="B841" s="69"/>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5.75" customHeight="1" x14ac:dyDescent="0.4">
      <c r="A842" s="60"/>
      <c r="B842" s="69"/>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5.75" customHeight="1" x14ac:dyDescent="0.4">
      <c r="A843" s="60"/>
      <c r="B843" s="69"/>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5.75" customHeight="1" x14ac:dyDescent="0.4">
      <c r="A844" s="60"/>
      <c r="B844" s="69"/>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5.75" customHeight="1" x14ac:dyDescent="0.4">
      <c r="A845" s="60"/>
      <c r="B845" s="69"/>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5.75" customHeight="1" x14ac:dyDescent="0.4">
      <c r="A846" s="60"/>
      <c r="B846" s="69"/>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5.75" customHeight="1" x14ac:dyDescent="0.4">
      <c r="A847" s="60"/>
      <c r="B847" s="69"/>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5.75" customHeight="1" x14ac:dyDescent="0.4">
      <c r="A848" s="60"/>
      <c r="B848" s="69"/>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5.75" customHeight="1" x14ac:dyDescent="0.4">
      <c r="A849" s="60"/>
      <c r="B849" s="69"/>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5.75" customHeight="1" x14ac:dyDescent="0.4">
      <c r="A850" s="60"/>
      <c r="B850" s="69"/>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5.75" customHeight="1" x14ac:dyDescent="0.4">
      <c r="A851" s="60"/>
      <c r="B851" s="69"/>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5.75" customHeight="1" x14ac:dyDescent="0.4">
      <c r="A852" s="60"/>
      <c r="B852" s="69"/>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5.75" customHeight="1" x14ac:dyDescent="0.4">
      <c r="A853" s="60"/>
      <c r="B853" s="69"/>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5.75" customHeight="1" x14ac:dyDescent="0.4">
      <c r="A854" s="60"/>
      <c r="B854" s="69"/>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5.75" customHeight="1" x14ac:dyDescent="0.4">
      <c r="A855" s="60"/>
      <c r="B855" s="69"/>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5.75" customHeight="1" x14ac:dyDescent="0.4">
      <c r="A856" s="60"/>
      <c r="B856" s="69"/>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5.75" customHeight="1" x14ac:dyDescent="0.4">
      <c r="A857" s="60"/>
      <c r="B857" s="69"/>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5.75" customHeight="1" x14ac:dyDescent="0.4">
      <c r="A858" s="60"/>
      <c r="B858" s="69"/>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5.75" customHeight="1" x14ac:dyDescent="0.4">
      <c r="A859" s="60"/>
      <c r="B859" s="69"/>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5.75" customHeight="1" x14ac:dyDescent="0.4">
      <c r="A860" s="60"/>
      <c r="B860" s="69"/>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5.75" customHeight="1" x14ac:dyDescent="0.4">
      <c r="A861" s="60"/>
      <c r="B861" s="69"/>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5.75" customHeight="1" x14ac:dyDescent="0.4">
      <c r="A862" s="60"/>
      <c r="B862" s="69"/>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5.75" customHeight="1" x14ac:dyDescent="0.4">
      <c r="A863" s="60"/>
      <c r="B863" s="69"/>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5.75" customHeight="1" x14ac:dyDescent="0.4">
      <c r="A864" s="60"/>
      <c r="B864" s="69"/>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5.75" customHeight="1" x14ac:dyDescent="0.4">
      <c r="A865" s="60"/>
      <c r="B865" s="69"/>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5.75" customHeight="1" x14ac:dyDescent="0.4">
      <c r="A866" s="60"/>
      <c r="B866" s="69"/>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5.75" customHeight="1" x14ac:dyDescent="0.4">
      <c r="A867" s="60"/>
      <c r="B867" s="69"/>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5.75" customHeight="1" x14ac:dyDescent="0.4">
      <c r="A868" s="60"/>
      <c r="B868" s="69"/>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5.75" customHeight="1" x14ac:dyDescent="0.4">
      <c r="A869" s="60"/>
      <c r="B869" s="69"/>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5.75" customHeight="1" x14ac:dyDescent="0.4">
      <c r="A870" s="60"/>
      <c r="B870" s="69"/>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5.75" customHeight="1" x14ac:dyDescent="0.4">
      <c r="A871" s="60"/>
      <c r="B871" s="69"/>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5.75" customHeight="1" x14ac:dyDescent="0.4">
      <c r="A872" s="60"/>
      <c r="B872" s="69"/>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5.75" customHeight="1" x14ac:dyDescent="0.4">
      <c r="A873" s="60"/>
      <c r="B873" s="69"/>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5.75" customHeight="1" x14ac:dyDescent="0.4">
      <c r="A874" s="60"/>
      <c r="B874" s="69"/>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5.75" customHeight="1" x14ac:dyDescent="0.4">
      <c r="A875" s="60"/>
      <c r="B875" s="69"/>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5.75" customHeight="1" x14ac:dyDescent="0.4">
      <c r="A876" s="60"/>
      <c r="B876" s="69"/>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5.75" customHeight="1" x14ac:dyDescent="0.4">
      <c r="A877" s="60"/>
      <c r="B877" s="69"/>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5.75" customHeight="1" x14ac:dyDescent="0.4">
      <c r="A878" s="60"/>
      <c r="B878" s="69"/>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5.75" customHeight="1" x14ac:dyDescent="0.4">
      <c r="A879" s="60"/>
      <c r="B879" s="69"/>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5.75" customHeight="1" x14ac:dyDescent="0.4">
      <c r="A880" s="60"/>
      <c r="B880" s="69"/>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5.75" customHeight="1" x14ac:dyDescent="0.4">
      <c r="A881" s="60"/>
      <c r="B881" s="69"/>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5.75" customHeight="1" x14ac:dyDescent="0.4">
      <c r="A882" s="60"/>
      <c r="B882" s="69"/>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5.75" customHeight="1" x14ac:dyDescent="0.4">
      <c r="A883" s="60"/>
      <c r="B883" s="69"/>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5.75" customHeight="1" x14ac:dyDescent="0.4">
      <c r="A884" s="60"/>
      <c r="B884" s="69"/>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5.75" customHeight="1" x14ac:dyDescent="0.4">
      <c r="A885" s="60"/>
      <c r="B885" s="69"/>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5.75" customHeight="1" x14ac:dyDescent="0.4">
      <c r="A886" s="60"/>
      <c r="B886" s="69"/>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5.75" customHeight="1" x14ac:dyDescent="0.4">
      <c r="A887" s="60"/>
      <c r="B887" s="69"/>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5.75" customHeight="1" x14ac:dyDescent="0.4">
      <c r="A888" s="60"/>
      <c r="B888" s="69"/>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5.75" customHeight="1" x14ac:dyDescent="0.4">
      <c r="A889" s="60"/>
      <c r="B889" s="69"/>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5.75" customHeight="1" x14ac:dyDescent="0.4">
      <c r="A890" s="60"/>
      <c r="B890" s="69"/>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5.75" customHeight="1" x14ac:dyDescent="0.4">
      <c r="A891" s="60"/>
      <c r="B891" s="69"/>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5.75" customHeight="1" x14ac:dyDescent="0.4">
      <c r="A892" s="60"/>
      <c r="B892" s="69"/>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5.75" customHeight="1" x14ac:dyDescent="0.4">
      <c r="A893" s="60"/>
      <c r="B893" s="69"/>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5.75" customHeight="1" x14ac:dyDescent="0.4">
      <c r="A894" s="60"/>
      <c r="B894" s="69"/>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5.75" customHeight="1" x14ac:dyDescent="0.4">
      <c r="A895" s="60"/>
      <c r="B895" s="69"/>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5.75" customHeight="1" x14ac:dyDescent="0.4">
      <c r="A896" s="60"/>
      <c r="B896" s="69"/>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5.75" customHeight="1" x14ac:dyDescent="0.4">
      <c r="A897" s="60"/>
      <c r="B897" s="69"/>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5.75" customHeight="1" x14ac:dyDescent="0.4">
      <c r="A898" s="60"/>
      <c r="B898" s="69"/>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5.75" customHeight="1" x14ac:dyDescent="0.4">
      <c r="A899" s="60"/>
      <c r="B899" s="69"/>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5.75" customHeight="1" x14ac:dyDescent="0.4">
      <c r="A900" s="60"/>
      <c r="B900" s="69"/>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5.75" customHeight="1" x14ac:dyDescent="0.4">
      <c r="A901" s="60"/>
      <c r="B901" s="69"/>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5.75" customHeight="1" x14ac:dyDescent="0.4">
      <c r="A902" s="60"/>
      <c r="B902" s="69"/>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5.75" customHeight="1" x14ac:dyDescent="0.4">
      <c r="A903" s="60"/>
      <c r="B903" s="69"/>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5.75" customHeight="1" x14ac:dyDescent="0.4">
      <c r="A904" s="60"/>
      <c r="B904" s="69"/>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5.75" customHeight="1" x14ac:dyDescent="0.4">
      <c r="A905" s="60"/>
      <c r="B905" s="69"/>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5.75" customHeight="1" x14ac:dyDescent="0.4">
      <c r="A906" s="60"/>
      <c r="B906" s="69"/>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5.75" customHeight="1" x14ac:dyDescent="0.4">
      <c r="A907" s="60"/>
      <c r="B907" s="69"/>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5.75" customHeight="1" x14ac:dyDescent="0.4">
      <c r="A908" s="60"/>
      <c r="B908" s="69"/>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5.75" customHeight="1" x14ac:dyDescent="0.4">
      <c r="A909" s="60"/>
      <c r="B909" s="69"/>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5.75" customHeight="1" x14ac:dyDescent="0.4">
      <c r="A910" s="60"/>
      <c r="B910" s="69"/>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5.75" customHeight="1" x14ac:dyDescent="0.4">
      <c r="A911" s="60"/>
      <c r="B911" s="69"/>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5.75" customHeight="1" x14ac:dyDescent="0.4">
      <c r="A912" s="60"/>
      <c r="B912" s="69"/>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5.75" customHeight="1" x14ac:dyDescent="0.4">
      <c r="A913" s="60"/>
      <c r="B913" s="69"/>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5.75" customHeight="1" x14ac:dyDescent="0.4">
      <c r="A914" s="60"/>
      <c r="B914" s="69"/>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5.75" customHeight="1" x14ac:dyDescent="0.4">
      <c r="A915" s="60"/>
      <c r="B915" s="69"/>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5.75" customHeight="1" x14ac:dyDescent="0.4">
      <c r="A916" s="60"/>
      <c r="B916" s="69"/>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5.75" customHeight="1" x14ac:dyDescent="0.4">
      <c r="A917" s="60"/>
      <c r="B917" s="69"/>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5.75" customHeight="1" x14ac:dyDescent="0.4">
      <c r="A918" s="60"/>
      <c r="B918" s="69"/>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5.75" customHeight="1" x14ac:dyDescent="0.4">
      <c r="A919" s="60"/>
      <c r="B919" s="69"/>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5.75" customHeight="1" x14ac:dyDescent="0.4">
      <c r="A920" s="60"/>
      <c r="B920" s="69"/>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5.75" customHeight="1" x14ac:dyDescent="0.4">
      <c r="A921" s="60"/>
      <c r="B921" s="69"/>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5.75" customHeight="1" x14ac:dyDescent="0.4">
      <c r="A922" s="60"/>
      <c r="B922" s="69"/>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5.75" customHeight="1" x14ac:dyDescent="0.4">
      <c r="A923" s="60"/>
      <c r="B923" s="69"/>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5.75" customHeight="1" x14ac:dyDescent="0.4">
      <c r="A924" s="60"/>
      <c r="B924" s="69"/>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5.75" customHeight="1" x14ac:dyDescent="0.4">
      <c r="A925" s="60"/>
      <c r="B925" s="69"/>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5.75" customHeight="1" x14ac:dyDescent="0.4">
      <c r="A926" s="60"/>
      <c r="B926" s="69"/>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5.75" customHeight="1" x14ac:dyDescent="0.4">
      <c r="A927" s="60"/>
      <c r="B927" s="69"/>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5.75" customHeight="1" x14ac:dyDescent="0.4">
      <c r="A928" s="60"/>
      <c r="B928" s="69"/>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5.75" customHeight="1" x14ac:dyDescent="0.4">
      <c r="A929" s="60"/>
      <c r="B929" s="69"/>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5.75" customHeight="1" x14ac:dyDescent="0.4">
      <c r="A930" s="60"/>
      <c r="B930" s="69"/>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5.75" customHeight="1" x14ac:dyDescent="0.4">
      <c r="A931" s="60"/>
      <c r="B931" s="69"/>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5.75" customHeight="1" x14ac:dyDescent="0.4">
      <c r="A932" s="60"/>
      <c r="B932" s="69"/>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5.75" customHeight="1" x14ac:dyDescent="0.4">
      <c r="A933" s="60"/>
      <c r="B933" s="69"/>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5.75" customHeight="1" x14ac:dyDescent="0.4">
      <c r="A934" s="60"/>
      <c r="B934" s="69"/>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5.75" customHeight="1" x14ac:dyDescent="0.4">
      <c r="A935" s="60"/>
      <c r="B935" s="69"/>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5.75" customHeight="1" x14ac:dyDescent="0.4">
      <c r="A936" s="60"/>
      <c r="B936" s="69"/>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5.75" customHeight="1" x14ac:dyDescent="0.4">
      <c r="A937" s="60"/>
      <c r="B937" s="69"/>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5.75" customHeight="1" x14ac:dyDescent="0.4">
      <c r="A938" s="60"/>
      <c r="B938" s="69"/>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5.75" customHeight="1" x14ac:dyDescent="0.4">
      <c r="A939" s="60"/>
      <c r="B939" s="69"/>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5.75" customHeight="1" x14ac:dyDescent="0.4">
      <c r="A940" s="60"/>
      <c r="B940" s="69"/>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5.75" customHeight="1" x14ac:dyDescent="0.4">
      <c r="A941" s="60"/>
      <c r="B941" s="69"/>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5.75" customHeight="1" x14ac:dyDescent="0.4">
      <c r="A942" s="60"/>
      <c r="B942" s="69"/>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5.75" customHeight="1" x14ac:dyDescent="0.4">
      <c r="A943" s="60"/>
      <c r="B943" s="69"/>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5.75" customHeight="1" x14ac:dyDescent="0.4">
      <c r="A944" s="60"/>
      <c r="B944" s="69"/>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5.75" customHeight="1" x14ac:dyDescent="0.4">
      <c r="A945" s="60"/>
      <c r="B945" s="69"/>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5.75" customHeight="1" x14ac:dyDescent="0.4">
      <c r="A946" s="60"/>
      <c r="B946" s="69"/>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5.75" customHeight="1" x14ac:dyDescent="0.4">
      <c r="A947" s="60"/>
      <c r="B947" s="69"/>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5.75" customHeight="1" x14ac:dyDescent="0.4">
      <c r="A948" s="60"/>
      <c r="B948" s="69"/>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5.75" customHeight="1" x14ac:dyDescent="0.4">
      <c r="A949" s="60"/>
      <c r="B949" s="69"/>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5.75" customHeight="1" x14ac:dyDescent="0.4">
      <c r="A950" s="60"/>
      <c r="B950" s="69"/>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5.75" customHeight="1" x14ac:dyDescent="0.4">
      <c r="A951" s="60"/>
      <c r="B951" s="69"/>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5.75" customHeight="1" x14ac:dyDescent="0.4">
      <c r="A952" s="60"/>
      <c r="B952" s="69"/>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5.75" customHeight="1" x14ac:dyDescent="0.4">
      <c r="A953" s="60"/>
      <c r="B953" s="69"/>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5.75" customHeight="1" x14ac:dyDescent="0.4">
      <c r="A954" s="60"/>
      <c r="B954" s="69"/>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5.75" customHeight="1" x14ac:dyDescent="0.4">
      <c r="A955" s="60"/>
      <c r="B955" s="69"/>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5.75" customHeight="1" x14ac:dyDescent="0.4">
      <c r="A956" s="60"/>
      <c r="B956" s="69"/>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5.75" customHeight="1" x14ac:dyDescent="0.4">
      <c r="A957" s="60"/>
      <c r="B957" s="69"/>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5.75" customHeight="1" x14ac:dyDescent="0.4">
      <c r="A958" s="60"/>
      <c r="B958" s="69"/>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5.75" customHeight="1" x14ac:dyDescent="0.4">
      <c r="A959" s="60"/>
      <c r="B959" s="69"/>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5.75" customHeight="1" x14ac:dyDescent="0.4">
      <c r="A960" s="60"/>
      <c r="B960" s="69"/>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5.75" customHeight="1" x14ac:dyDescent="0.4">
      <c r="A961" s="60"/>
      <c r="B961" s="69"/>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5.75" customHeight="1" x14ac:dyDescent="0.4">
      <c r="A962" s="60"/>
      <c r="B962" s="69"/>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5.75" customHeight="1" x14ac:dyDescent="0.4">
      <c r="A963" s="60"/>
      <c r="B963" s="69"/>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5.75" customHeight="1" x14ac:dyDescent="0.4">
      <c r="A964" s="60"/>
      <c r="B964" s="69"/>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5.75" customHeight="1" x14ac:dyDescent="0.4">
      <c r="A965" s="60"/>
      <c r="B965" s="69"/>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5.75" customHeight="1" x14ac:dyDescent="0.4">
      <c r="A966" s="60"/>
      <c r="B966" s="69"/>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5.75" customHeight="1" x14ac:dyDescent="0.4">
      <c r="A967" s="60"/>
      <c r="B967" s="69"/>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5.75" customHeight="1" x14ac:dyDescent="0.4">
      <c r="A968" s="60"/>
      <c r="B968" s="69"/>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5.75" customHeight="1" x14ac:dyDescent="0.4">
      <c r="A969" s="60"/>
      <c r="B969" s="69"/>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5.75" customHeight="1" x14ac:dyDescent="0.4">
      <c r="A970" s="60"/>
      <c r="B970" s="69"/>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5.75" customHeight="1" x14ac:dyDescent="0.4">
      <c r="A971" s="60"/>
      <c r="B971" s="69"/>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5.75" customHeight="1" x14ac:dyDescent="0.4">
      <c r="A972" s="60"/>
      <c r="B972" s="69"/>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5.75" customHeight="1" x14ac:dyDescent="0.4">
      <c r="A973" s="60"/>
      <c r="B973" s="69"/>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5.75" customHeight="1" x14ac:dyDescent="0.4">
      <c r="A974" s="60"/>
      <c r="B974" s="69"/>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5.75" customHeight="1" x14ac:dyDescent="0.4">
      <c r="A975" s="60"/>
      <c r="B975" s="69"/>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5.75" customHeight="1" x14ac:dyDescent="0.4">
      <c r="A976" s="60"/>
      <c r="B976" s="69"/>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5.75" customHeight="1" x14ac:dyDescent="0.4">
      <c r="A977" s="60"/>
      <c r="B977" s="69"/>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5.75" customHeight="1" x14ac:dyDescent="0.4">
      <c r="A978" s="60"/>
      <c r="B978" s="69"/>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5.75" customHeight="1" x14ac:dyDescent="0.4">
      <c r="A979" s="60"/>
      <c r="B979" s="69"/>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5.75" customHeight="1" x14ac:dyDescent="0.4">
      <c r="A980" s="60"/>
      <c r="B980" s="69"/>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5.75" customHeight="1" x14ac:dyDescent="0.4">
      <c r="A981" s="60"/>
      <c r="B981" s="69"/>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5.75" customHeight="1" x14ac:dyDescent="0.4">
      <c r="A982" s="60"/>
      <c r="B982" s="69"/>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5.75" customHeight="1" x14ac:dyDescent="0.4">
      <c r="A983" s="60"/>
      <c r="B983" s="69"/>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5.75" customHeight="1" x14ac:dyDescent="0.4">
      <c r="A984" s="60"/>
      <c r="B984" s="69"/>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5.75" customHeight="1" x14ac:dyDescent="0.4">
      <c r="A985" s="60"/>
      <c r="B985" s="69"/>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5.75" customHeight="1" x14ac:dyDescent="0.4">
      <c r="A986" s="60"/>
      <c r="B986" s="69"/>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5.75" customHeight="1" x14ac:dyDescent="0.4">
      <c r="A987" s="60"/>
      <c r="B987" s="69"/>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5.75" customHeight="1" x14ac:dyDescent="0.4">
      <c r="A988" s="60"/>
      <c r="B988" s="69"/>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5.75" customHeight="1" x14ac:dyDescent="0.4">
      <c r="A989" s="60"/>
      <c r="B989" s="69"/>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5.75" customHeight="1" x14ac:dyDescent="0.4">
      <c r="A990" s="60"/>
      <c r="B990" s="69"/>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5.75" customHeight="1" x14ac:dyDescent="0.4">
      <c r="A991" s="60"/>
      <c r="B991" s="69"/>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5.75" customHeight="1" x14ac:dyDescent="0.4">
      <c r="A992" s="60"/>
      <c r="B992" s="69"/>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5.75" customHeight="1" x14ac:dyDescent="0.4">
      <c r="A993" s="60"/>
      <c r="B993" s="69"/>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5.75" customHeight="1" x14ac:dyDescent="0.4">
      <c r="A994" s="60"/>
      <c r="B994" s="69"/>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5.75" customHeight="1" x14ac:dyDescent="0.4">
      <c r="A995" s="60"/>
      <c r="B995" s="69"/>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5.75" customHeight="1" x14ac:dyDescent="0.4">
      <c r="A996" s="60"/>
      <c r="B996" s="69"/>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5.75" customHeight="1" x14ac:dyDescent="0.4">
      <c r="A997" s="60"/>
      <c r="B997" s="69"/>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5.75" customHeight="1" x14ac:dyDescent="0.4">
      <c r="A998" s="60"/>
      <c r="B998" s="69"/>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5.75" customHeight="1" x14ac:dyDescent="0.4">
      <c r="A999" s="60"/>
      <c r="B999" s="69"/>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5.75" customHeight="1" x14ac:dyDescent="0.4">
      <c r="A1000" s="60"/>
      <c r="B1000" s="69"/>
      <c r="C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sheetProtection algorithmName="SHA-512" hashValue="+fUrbeoRox4FwS89p3DV3u7IVy5Qvbf1M3H0ci7p1o+OE9KTvPv/gEYLQ1cL+jShs5cHpyLhdzH0mXOcWH3RFg==" saltValue="mWJJoPBbdnHzbM+n0RwBgQ==" spinCount="100000" sheet="1" objects="1" scenarios="1"/>
  <hyperlinks>
    <hyperlink ref="F1" r:id="rId1" xr:uid="{00000000-0004-0000-0200-000000000000}"/>
  </hyperlinks>
  <pageMargins left="0.7" right="0.7" top="0.75" bottom="0.75" header="0" footer="0"/>
  <pageSetup paperSize="9" orientation="portrait"/>
  <headerFooter>
    <oddHeader>&amp;L&amp;"Century Gothic"&amp;11&amp;KFF8C00 Classification: CONFIDENTIAL&amp;1#_x000D_</oddHeader>
    <oddFooter>&amp;L_x000D_&amp;1#&amp;"Century Gothic"&amp;11&amp;KFF8C00 Classification: CONFIDENTIAL</oddFooter>
  </headerFooter>
</worksheet>
</file>

<file path=docMetadata/LabelInfo.xml><?xml version="1.0" encoding="utf-8"?>
<clbl:labelList xmlns:clbl="http://schemas.microsoft.com/office/2020/mipLabelMetadata">
  <clbl:label id="{86ed355d-16c6-4790-9ea3-72740d6a65e1}" enabled="1" method="Privileged" siteId="{7f662590-a593-47e5-a0e9-04a11527245a}"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Pricing Methodology &amp; Inputs</vt:lpstr>
      <vt:lpstr>Rate of Return</vt:lpstr>
      <vt:lpstr>Standing Price Calculation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Richardson, Kirsten</cp:lastModifiedBy>
  <dcterms:modified xsi:type="dcterms:W3CDTF">2025-08-04T02:38:37Z</dcterms:modified>
</cp:coreProperties>
</file>